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SI MAGISTRALE\Pacchetti\MAGGIO\"/>
    </mc:Choice>
  </mc:AlternateContent>
  <xr:revisionPtr revIDLastSave="0" documentId="13_ncr:1_{D4EAEED1-9193-4A6B-A529-1E17A4FC0068}" xr6:coauthVersionLast="47" xr6:coauthVersionMax="47" xr10:uidLastSave="{00000000-0000-0000-0000-000000000000}"/>
  <bookViews>
    <workbookView xWindow="-108" yWindow="-108" windowWidth="23256" windowHeight="12576" activeTab="1" xr2:uid="{98D2483B-E8E7-40B8-8128-E8FE66A6BF76}"/>
  </bookViews>
  <sheets>
    <sheet name="Stato di fatto" sheetId="2" r:id="rId1"/>
    <sheet name="Ante e Post" sheetId="3" r:id="rId2"/>
    <sheet name="SPESE TOT" sheetId="9" r:id="rId3"/>
    <sheet name="MF" sheetId="8" r:id="rId4"/>
    <sheet name="&lt; 900" sheetId="11" r:id="rId5"/>
    <sheet name="1901-1920" sheetId="12" r:id="rId6"/>
    <sheet name="1921-1945" sheetId="13" r:id="rId7"/>
    <sheet name="1946-1960" sheetId="14" r:id="rId8"/>
    <sheet name="1961-1975" sheetId="10" r:id="rId9"/>
    <sheet name="1976-1990" sheetId="15" r:id="rId10"/>
    <sheet name="&gt;2006" sheetId="16" r:id="rId11"/>
    <sheet name="Foglio1" sheetId="17" r:id="rId12"/>
    <sheet name="Foglio3" sheetId="19" r:id="rId13"/>
  </sheets>
  <definedNames>
    <definedName name="_xlnm.Print_Area" localSheetId="1">'Ante e Post'!$A$1:$I$19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8" i="3" l="1"/>
  <c r="K59" i="3" s="1"/>
  <c r="K43" i="3"/>
  <c r="K28" i="3"/>
  <c r="L58" i="3"/>
  <c r="L59" i="3" s="1"/>
  <c r="L43" i="3"/>
  <c r="K42" i="3"/>
  <c r="K41" i="3"/>
  <c r="L42" i="3"/>
  <c r="L36" i="3"/>
  <c r="L37" i="3"/>
  <c r="K37" i="3"/>
  <c r="K36" i="3"/>
  <c r="L28" i="3"/>
  <c r="L49" i="3"/>
  <c r="K49" i="3"/>
  <c r="K27" i="3"/>
  <c r="L27" i="3"/>
  <c r="L26" i="3"/>
  <c r="K26" i="3"/>
  <c r="L48" i="3"/>
  <c r="K48" i="3"/>
  <c r="L41" i="3"/>
  <c r="L35" i="3"/>
  <c r="K35" i="3"/>
  <c r="L25" i="3"/>
  <c r="K25" i="3"/>
  <c r="L9" i="3"/>
  <c r="L24" i="3"/>
  <c r="K24" i="3"/>
  <c r="L18" i="3"/>
  <c r="L15" i="3"/>
  <c r="L5" i="3"/>
  <c r="K18" i="3"/>
  <c r="K15" i="3"/>
  <c r="K9" i="3"/>
  <c r="K5" i="3"/>
  <c r="G47" i="12"/>
  <c r="E12" i="17"/>
  <c r="E7" i="17"/>
  <c r="L44" i="3" l="1"/>
  <c r="K50" i="3"/>
  <c r="K29" i="3"/>
  <c r="K19" i="3"/>
  <c r="L50" i="3"/>
  <c r="L19" i="3"/>
  <c r="K38" i="3"/>
  <c r="K44" i="3"/>
  <c r="L38" i="3"/>
  <c r="L29" i="3"/>
  <c r="B45" i="17"/>
  <c r="Y9" i="17"/>
  <c r="Y8" i="17"/>
  <c r="X9" i="17"/>
  <c r="X8" i="17"/>
  <c r="W9" i="17"/>
  <c r="W8" i="17"/>
  <c r="V9" i="17"/>
  <c r="V8" i="17"/>
  <c r="U9" i="17"/>
  <c r="U8" i="17"/>
  <c r="T9" i="17"/>
  <c r="T8" i="17"/>
  <c r="S9" i="17"/>
  <c r="S8" i="17"/>
  <c r="K63" i="3" l="1"/>
  <c r="L63" i="3"/>
  <c r="C45" i="17"/>
  <c r="L39" i="17"/>
  <c r="P39" i="17" s="1"/>
  <c r="H48" i="17" s="1"/>
  <c r="J39" i="17"/>
  <c r="G39" i="17"/>
  <c r="F39" i="17"/>
  <c r="L38" i="17"/>
  <c r="P38" i="17" s="1"/>
  <c r="G49" i="17" s="1"/>
  <c r="J38" i="17"/>
  <c r="G38" i="17"/>
  <c r="E38" i="17"/>
  <c r="L37" i="17"/>
  <c r="P37" i="17" s="1"/>
  <c r="J37" i="17"/>
  <c r="G37" i="17"/>
  <c r="E37" i="17"/>
  <c r="L36" i="17"/>
  <c r="P36" i="17" s="1"/>
  <c r="J36" i="17"/>
  <c r="H36" i="17"/>
  <c r="E36" i="17"/>
  <c r="L35" i="17"/>
  <c r="P35" i="17" s="1"/>
  <c r="J35" i="17"/>
  <c r="H35" i="17"/>
  <c r="F35" i="17"/>
  <c r="L34" i="17"/>
  <c r="P34" i="17" s="1"/>
  <c r="J34" i="17"/>
  <c r="G34" i="17"/>
  <c r="F34" i="17"/>
  <c r="L33" i="17"/>
  <c r="P33" i="17" s="1"/>
  <c r="E49" i="17" s="1"/>
  <c r="J33" i="17"/>
  <c r="G33" i="17"/>
  <c r="F33" i="17"/>
  <c r="L32" i="17"/>
  <c r="P32" i="17" s="1"/>
  <c r="J32" i="17"/>
  <c r="G32" i="17"/>
  <c r="E32" i="17"/>
  <c r="L31" i="17"/>
  <c r="P31" i="17" s="1"/>
  <c r="J31" i="17"/>
  <c r="G31" i="17"/>
  <c r="F31" i="17"/>
  <c r="L30" i="17"/>
  <c r="P30" i="17" s="1"/>
  <c r="J30" i="17"/>
  <c r="G30" i="17"/>
  <c r="F30" i="17"/>
  <c r="L29" i="17"/>
  <c r="P29" i="17" s="1"/>
  <c r="J29" i="17"/>
  <c r="G29" i="17"/>
  <c r="E29" i="17"/>
  <c r="L28" i="17"/>
  <c r="P28" i="17" s="1"/>
  <c r="J28" i="17"/>
  <c r="G28" i="17"/>
  <c r="F28" i="17"/>
  <c r="L27" i="17"/>
  <c r="P27" i="17" s="1"/>
  <c r="J27" i="17"/>
  <c r="G27" i="17"/>
  <c r="E27" i="17"/>
  <c r="L26" i="17"/>
  <c r="P26" i="17" s="1"/>
  <c r="J26" i="17"/>
  <c r="G26" i="17"/>
  <c r="F26" i="17"/>
  <c r="L24" i="17"/>
  <c r="P24" i="17" s="1"/>
  <c r="J24" i="17"/>
  <c r="G24" i="17"/>
  <c r="F24" i="17"/>
  <c r="L23" i="17"/>
  <c r="P23" i="17" s="1"/>
  <c r="J23" i="17"/>
  <c r="G23" i="17"/>
  <c r="F23" i="17"/>
  <c r="L19" i="17"/>
  <c r="P19" i="17" s="1"/>
  <c r="J19" i="17"/>
  <c r="G19" i="17"/>
  <c r="F19" i="17"/>
  <c r="L18" i="17"/>
  <c r="P18" i="17" s="1"/>
  <c r="J18" i="17"/>
  <c r="G18" i="17"/>
  <c r="E18" i="17"/>
  <c r="L17" i="17"/>
  <c r="P17" i="17" s="1"/>
  <c r="J17" i="17"/>
  <c r="G17" i="17"/>
  <c r="E17" i="17"/>
  <c r="L16" i="17"/>
  <c r="P16" i="17" s="1"/>
  <c r="J16" i="17"/>
  <c r="H16" i="17"/>
  <c r="E16" i="17"/>
  <c r="L15" i="17"/>
  <c r="P15" i="17" s="1"/>
  <c r="J15" i="17"/>
  <c r="H15" i="17"/>
  <c r="F15" i="17"/>
  <c r="L14" i="17"/>
  <c r="P14" i="17" s="1"/>
  <c r="J14" i="17"/>
  <c r="G14" i="17"/>
  <c r="F14" i="17"/>
  <c r="L13" i="17"/>
  <c r="P13" i="17" s="1"/>
  <c r="J13" i="17"/>
  <c r="G13" i="17"/>
  <c r="F13" i="17"/>
  <c r="L12" i="17"/>
  <c r="P12" i="17" s="1"/>
  <c r="J12" i="17"/>
  <c r="G12" i="17"/>
  <c r="L11" i="17"/>
  <c r="P11" i="17" s="1"/>
  <c r="J11" i="17"/>
  <c r="G11" i="17"/>
  <c r="F11" i="17"/>
  <c r="L10" i="17"/>
  <c r="P10" i="17" s="1"/>
  <c r="J10" i="17"/>
  <c r="G10" i="17"/>
  <c r="F10" i="17"/>
  <c r="L9" i="17"/>
  <c r="P9" i="17" s="1"/>
  <c r="J9" i="17"/>
  <c r="G9" i="17"/>
  <c r="E9" i="17"/>
  <c r="L8" i="17"/>
  <c r="P8" i="17" s="1"/>
  <c r="J8" i="17"/>
  <c r="G8" i="17"/>
  <c r="F8" i="17"/>
  <c r="L7" i="17"/>
  <c r="P7" i="17" s="1"/>
  <c r="J7" i="17"/>
  <c r="G7" i="17"/>
  <c r="L6" i="17"/>
  <c r="P6" i="17" s="1"/>
  <c r="J6" i="17"/>
  <c r="G6" i="17"/>
  <c r="F6" i="17"/>
  <c r="L4" i="17"/>
  <c r="P4" i="17" s="1"/>
  <c r="J4" i="17"/>
  <c r="G4" i="17"/>
  <c r="F4" i="17"/>
  <c r="L3" i="17"/>
  <c r="P3" i="17" s="1"/>
  <c r="J3" i="17"/>
  <c r="G3" i="17"/>
  <c r="F3" i="17"/>
  <c r="L29" i="9"/>
  <c r="L30" i="9"/>
  <c r="J30" i="9"/>
  <c r="J29" i="9"/>
  <c r="G30" i="9"/>
  <c r="G29" i="9"/>
  <c r="F30" i="9"/>
  <c r="E29" i="9"/>
  <c r="F28" i="9"/>
  <c r="L9" i="9"/>
  <c r="L10" i="9"/>
  <c r="J10" i="9"/>
  <c r="J9" i="9"/>
  <c r="G10" i="9"/>
  <c r="G11" i="9"/>
  <c r="F10" i="9"/>
  <c r="G9" i="9"/>
  <c r="E9" i="9"/>
  <c r="G8" i="9"/>
  <c r="F8" i="9"/>
  <c r="C47" i="12"/>
  <c r="O61" i="12"/>
  <c r="J61" i="12"/>
  <c r="I61" i="12"/>
  <c r="G61" i="12"/>
  <c r="F61" i="12"/>
  <c r="C61" i="12"/>
  <c r="L27" i="9"/>
  <c r="L26" i="9"/>
  <c r="J27" i="9"/>
  <c r="J26" i="9"/>
  <c r="L7" i="9"/>
  <c r="J7" i="9"/>
  <c r="J6" i="9"/>
  <c r="L6" i="9"/>
  <c r="G7" i="9"/>
  <c r="G27" i="9"/>
  <c r="F26" i="9"/>
  <c r="F6" i="9"/>
  <c r="E27" i="9"/>
  <c r="E7" i="9"/>
  <c r="G26" i="9"/>
  <c r="G6" i="9"/>
  <c r="O16" i="11"/>
  <c r="O10" i="11"/>
  <c r="J10" i="11"/>
  <c r="J16" i="11"/>
  <c r="I16" i="11"/>
  <c r="I10" i="11"/>
  <c r="G10" i="11"/>
  <c r="G16" i="11"/>
  <c r="F16" i="11"/>
  <c r="F10" i="11"/>
  <c r="C16" i="11"/>
  <c r="C10" i="11"/>
  <c r="B49" i="17" l="1"/>
  <c r="O11" i="17"/>
  <c r="O15" i="17"/>
  <c r="O16" i="17"/>
  <c r="C49" i="17"/>
  <c r="O31" i="17"/>
  <c r="O35" i="17"/>
  <c r="O6" i="17"/>
  <c r="O3" i="17"/>
  <c r="O8" i="17"/>
  <c r="O19" i="17"/>
  <c r="O24" i="17"/>
  <c r="C44" i="17" s="1"/>
  <c r="O27" i="17"/>
  <c r="O29" i="17"/>
  <c r="O39" i="17"/>
  <c r="H49" i="17" s="1"/>
  <c r="O4" i="17"/>
  <c r="O9" i="17"/>
  <c r="O23" i="17"/>
  <c r="B44" i="17" s="1"/>
  <c r="O28" i="17"/>
  <c r="O7" i="17"/>
  <c r="O26" i="17"/>
  <c r="O38" i="17"/>
  <c r="G48" i="17" s="1"/>
  <c r="O14" i="17"/>
  <c r="O37" i="17"/>
  <c r="O13" i="17"/>
  <c r="O30" i="17"/>
  <c r="O32" i="17"/>
  <c r="O18" i="17"/>
  <c r="D49" i="17"/>
  <c r="O34" i="17"/>
  <c r="O36" i="17"/>
  <c r="O10" i="17"/>
  <c r="O12" i="17"/>
  <c r="O17" i="17"/>
  <c r="O33" i="17"/>
  <c r="E48" i="17" s="1"/>
  <c r="F49" i="17"/>
  <c r="O4" i="16"/>
  <c r="J4" i="16"/>
  <c r="I4" i="16"/>
  <c r="G4" i="16"/>
  <c r="F4" i="16"/>
  <c r="C4" i="16"/>
  <c r="O5" i="15"/>
  <c r="J5" i="15"/>
  <c r="I5" i="15"/>
  <c r="G5" i="15"/>
  <c r="F5" i="15"/>
  <c r="C5" i="15"/>
  <c r="O58" i="14"/>
  <c r="J58" i="14"/>
  <c r="I58" i="14"/>
  <c r="G58" i="14"/>
  <c r="F58" i="14"/>
  <c r="C58" i="14"/>
  <c r="O74" i="13"/>
  <c r="J74" i="13"/>
  <c r="I74" i="13"/>
  <c r="G74" i="13"/>
  <c r="F74" i="13"/>
  <c r="C74" i="13"/>
  <c r="O47" i="12"/>
  <c r="J47" i="12"/>
  <c r="I47" i="12"/>
  <c r="F47" i="12"/>
  <c r="L35" i="9"/>
  <c r="L36" i="9"/>
  <c r="L37" i="9"/>
  <c r="L34" i="9"/>
  <c r="J35" i="9"/>
  <c r="J36" i="9"/>
  <c r="J37" i="9"/>
  <c r="J34" i="9"/>
  <c r="E37" i="9"/>
  <c r="E36" i="9"/>
  <c r="H36" i="9"/>
  <c r="H35" i="9"/>
  <c r="G37" i="9"/>
  <c r="G34" i="9"/>
  <c r="F35" i="9"/>
  <c r="F34" i="9"/>
  <c r="E17" i="9"/>
  <c r="H16" i="9"/>
  <c r="E16" i="9"/>
  <c r="L16" i="9"/>
  <c r="L17" i="9"/>
  <c r="L15" i="9"/>
  <c r="H15" i="9"/>
  <c r="F15" i="9"/>
  <c r="L14" i="9"/>
  <c r="F14" i="9"/>
  <c r="J17" i="9"/>
  <c r="J16" i="9"/>
  <c r="G17" i="9"/>
  <c r="J15" i="9"/>
  <c r="J14" i="9"/>
  <c r="G14" i="9"/>
  <c r="O44" i="10"/>
  <c r="J44" i="10"/>
  <c r="I44" i="10"/>
  <c r="G44" i="10"/>
  <c r="F44" i="10"/>
  <c r="C44" i="10"/>
  <c r="O13" i="10"/>
  <c r="J13" i="10"/>
  <c r="I13" i="10"/>
  <c r="G13" i="10"/>
  <c r="C13" i="10"/>
  <c r="F13" i="10"/>
  <c r="B48" i="17" l="1"/>
  <c r="C48" i="17"/>
  <c r="D48" i="17"/>
  <c r="F48" i="17"/>
  <c r="L39" i="9"/>
  <c r="J39" i="9"/>
  <c r="G39" i="9"/>
  <c r="F39" i="9"/>
  <c r="L19" i="9"/>
  <c r="J19" i="9"/>
  <c r="G19" i="9"/>
  <c r="F19" i="9"/>
  <c r="J38" i="9"/>
  <c r="J33" i="9"/>
  <c r="L38" i="9"/>
  <c r="E38" i="9"/>
  <c r="G38" i="9"/>
  <c r="L18" i="9"/>
  <c r="J18" i="9"/>
  <c r="G18" i="9"/>
  <c r="E18" i="9"/>
  <c r="L33" i="9"/>
  <c r="G33" i="9"/>
  <c r="F33" i="9"/>
  <c r="L13" i="9"/>
  <c r="J13" i="9"/>
  <c r="G13" i="9"/>
  <c r="F13" i="9"/>
  <c r="L32" i="9"/>
  <c r="L31" i="9"/>
  <c r="J32" i="9"/>
  <c r="J31" i="9"/>
  <c r="G32" i="9"/>
  <c r="G31" i="9"/>
  <c r="F31" i="9"/>
  <c r="E32" i="9"/>
  <c r="L12" i="9"/>
  <c r="L11" i="9"/>
  <c r="J12" i="9"/>
  <c r="J11" i="9"/>
  <c r="G12" i="9"/>
  <c r="F11" i="9"/>
  <c r="E12" i="9"/>
  <c r="L28" i="9"/>
  <c r="J28" i="9"/>
  <c r="G28" i="9"/>
  <c r="L8" i="9"/>
  <c r="J8" i="9"/>
  <c r="L24" i="9"/>
  <c r="L23" i="9"/>
  <c r="J24" i="9"/>
  <c r="J23" i="9"/>
  <c r="G24" i="9"/>
  <c r="G23" i="9"/>
  <c r="F24" i="9"/>
  <c r="F23" i="9"/>
  <c r="L3" i="9"/>
  <c r="L4" i="9"/>
  <c r="J4" i="9"/>
  <c r="G4" i="9"/>
  <c r="F4" i="9"/>
  <c r="J3" i="9"/>
  <c r="G3" i="9"/>
  <c r="F3" i="9"/>
  <c r="O10" i="8"/>
  <c r="J10" i="8"/>
  <c r="F10" i="8"/>
  <c r="G10" i="8"/>
  <c r="D10" i="8"/>
  <c r="O25" i="8"/>
  <c r="J25" i="8"/>
  <c r="I25" i="8"/>
  <c r="G25" i="8"/>
  <c r="F25" i="8"/>
  <c r="C25" i="8"/>
  <c r="I10" i="8"/>
  <c r="C10" i="8"/>
</calcChain>
</file>

<file path=xl/sharedStrings.xml><?xml version="1.0" encoding="utf-8"?>
<sst xmlns="http://schemas.openxmlformats.org/spreadsheetml/2006/main" count="1544" uniqueCount="533">
  <si>
    <t>1946-1960</t>
  </si>
  <si>
    <t>1961-1975</t>
  </si>
  <si>
    <t>Multifamiliari</t>
  </si>
  <si>
    <t>1901-1920</t>
  </si>
  <si>
    <t>1921-1945</t>
  </si>
  <si>
    <t>1976-1990</t>
  </si>
  <si>
    <t>1991-2005</t>
  </si>
  <si>
    <t>dopo il 2006</t>
  </si>
  <si>
    <t>Muratura</t>
  </si>
  <si>
    <t>prima del 1900</t>
  </si>
  <si>
    <t>Infisso</t>
  </si>
  <si>
    <t>Tetto</t>
  </si>
  <si>
    <t>Solaio verso sottotetto</t>
  </si>
  <si>
    <t>Solaio vers ANR</t>
  </si>
  <si>
    <t>In legno con vetro singolo
U = 4,90 [W/(m2K)]</t>
  </si>
  <si>
    <t>A falde con struttura e tavolato
U = 1,80 [W/(m2K)]</t>
  </si>
  <si>
    <t>A falde in laterizio
U = 2,20 [W/(m2K)]</t>
  </si>
  <si>
    <t>In laterocemento
U = 1,65 [W/(m2K)]</t>
  </si>
  <si>
    <t>In laterocemento
U = 1,30 [W/(m2K)]</t>
  </si>
  <si>
    <t>In mattoni pieni  50 cm
U = 1,15 [W/(m2K)]</t>
  </si>
  <si>
    <t>Solaio inferiore esterno</t>
  </si>
  <si>
    <t>In laterocemento
U = 1,56 [W/(m2K)]</t>
  </si>
  <si>
    <t>In legno e tavelle
U = 2,86 [W/(m2K)]</t>
  </si>
  <si>
    <t>A profili in acciaio e voltini
U = 2,60 [W/(m2K)]</t>
  </si>
  <si>
    <t>A profili in acciaio e tavelle
U = 2,48 [W/(m2K)]</t>
  </si>
  <si>
    <t>In laterocemento e basso isolamento
U = 0,97 [W/(m2K)]</t>
  </si>
  <si>
    <t>In laterocemento e alto isolaento
U = 0,30 [W/(m2K)]</t>
  </si>
  <si>
    <t>In laterocemento e alto isolaento
U = 0,33 [W/(m2K)]</t>
  </si>
  <si>
    <t>In laterocemento e basso isolamento
U = 0,98 [W/(m2K)]</t>
  </si>
  <si>
    <t>A profilo in acciaio e tavelle
U = 1,81 [W/(m2K)]</t>
  </si>
  <si>
    <t>A profili in acciaio e voltini
U = 1,87 [W/(m2K)]</t>
  </si>
  <si>
    <t>MULTIFAMILIARI</t>
  </si>
  <si>
    <t>BLOCCO DI APPARTAMENTI</t>
  </si>
  <si>
    <t>A cassa vuota con mattoni forati 30 cm
U = 1,15 [W/(m2K)]</t>
  </si>
  <si>
    <t>In mattoni pieni da 38 cm
U = 1,48 [W/(m2K)]</t>
  </si>
  <si>
    <t>A cassa vuota e mattoni forati da 40 cm
U = 1,10 [W/(m2K)]</t>
  </si>
  <si>
    <t>A cassa vuota, mattoni forati da 40 cm e basso isolamento U = 0,76 [W/(m2K)]</t>
  </si>
  <si>
    <t>In mattoni alveolari e alto isolamento
U = 0,34 [W/(m2K)]</t>
  </si>
  <si>
    <t>STATO DI FATTO</t>
  </si>
  <si>
    <t>Isolamento a cappotto EPS 12 cm
U = 0,23 [W/(m2K)]</t>
  </si>
  <si>
    <t>In legno-alluminio doppio vetro
U = 1,29 [W/(m2K)]</t>
  </si>
  <si>
    <t>Isolamento in lana di vetro 18 cm
U = 1,19 [W/(m2K)]</t>
  </si>
  <si>
    <t>Isolamento in EPS da 12 cm
U = 0,23 [W/(m2K)]</t>
  </si>
  <si>
    <t>Isolamento interno Isolcore cz 1 cm
U = 0,16 [W/(m2K)]</t>
  </si>
  <si>
    <t>Isolamento in lana di vetro 4 cm
U = 0,23 [W/(m2K)]</t>
  </si>
  <si>
    <t>In legno con triplo vetro
U = 1,28 [W/(m2K)]</t>
  </si>
  <si>
    <t>In PVC con triplo vetro
U = 1,21 [W/(m2K)]</t>
  </si>
  <si>
    <t>Isolamento in lana di vetro 16 cm
U = 0,19 [W/(m2K)]</t>
  </si>
  <si>
    <t>Isolamento in lana di vetro 18 cm 
U = 0,19 [W/(m2K)]</t>
  </si>
  <si>
    <t>Isolamento in lana di vetro 8 cm
U = 0,18 [W/(m2K)]</t>
  </si>
  <si>
    <t>A volta in laterizio
U = 1,58 [W/(m2K)]</t>
  </si>
  <si>
    <t>Isolamento in lana di vetro 20 cm
U = 0,18 [W/(m2K)]</t>
  </si>
  <si>
    <t>Isolamento a cappotto in EPS 12 cm
U = 0,23 [W/(m2K)]</t>
  </si>
  <si>
    <t>Isolamento a cappotto in EPS 10 cm
U = 0,23 [W/(m2K)]</t>
  </si>
  <si>
    <t>In legno-alluminio con doppio vetro
U = 1,29 [W/(m2K)]</t>
  </si>
  <si>
    <t>Isolamento in EPS 16 cm
U = 0,19 [W/(m2K)]</t>
  </si>
  <si>
    <t>Isolamento estradosso in EPS 4 cm
U = 0,22 [W/(m2K)]</t>
  </si>
  <si>
    <t xml:space="preserve">Isolamento estradosso in EPS 12 cm
U = 0,24 [W/(m2K)] </t>
  </si>
  <si>
    <t>A cassa vuota e mattoni forati da 30 cm
U = 1,15 [W/(m2K)]</t>
  </si>
  <si>
    <t>ANTE E POST INTERVENTI</t>
  </si>
  <si>
    <r>
      <t xml:space="preserve">In legno con vetro singolo
U = 4,90 [W/(m2K)] </t>
    </r>
    <r>
      <rPr>
        <sz val="10"/>
        <color rgb="FFFF0000"/>
        <rFont val="Futura Bk BT"/>
        <family val="2"/>
      </rPr>
      <t>*</t>
    </r>
  </si>
  <si>
    <r>
      <rPr>
        <sz val="10"/>
        <color rgb="FFFF0000"/>
        <rFont val="Futura Bk BT"/>
        <family val="2"/>
      </rPr>
      <t>*</t>
    </r>
    <r>
      <rPr>
        <sz val="10"/>
        <color theme="1"/>
        <rFont val="Futura Bk BT"/>
        <family val="2"/>
      </rPr>
      <t>U = 2,2</t>
    </r>
  </si>
  <si>
    <r>
      <t xml:space="preserve">In metallo senza taglio termico
U = 5,70 [W/(m2K)] </t>
    </r>
    <r>
      <rPr>
        <sz val="10"/>
        <color rgb="FFFF0000"/>
        <rFont val="Futura Bk BT"/>
        <family val="2"/>
      </rPr>
      <t>*</t>
    </r>
  </si>
  <si>
    <r>
      <rPr>
        <sz val="10"/>
        <color rgb="FFFF0000"/>
        <rFont val="Futura Bk BT"/>
        <family val="2"/>
      </rPr>
      <t>*</t>
    </r>
    <r>
      <rPr>
        <sz val="10"/>
        <color theme="1"/>
        <rFont val="Futura Bk BT"/>
        <family val="2"/>
      </rPr>
      <t>U = 3,70</t>
    </r>
  </si>
  <si>
    <r>
      <t xml:space="preserve">Piano in laterocemento
U = 1,85 [W/(m2K)] </t>
    </r>
    <r>
      <rPr>
        <sz val="10"/>
        <color rgb="FFFF0000"/>
        <rFont val="Futura Bk BT"/>
        <family val="2"/>
      </rPr>
      <t>*</t>
    </r>
  </si>
  <si>
    <r>
      <rPr>
        <sz val="10"/>
        <color rgb="FFFF0000"/>
        <rFont val="Futura Bk BT"/>
        <family val="2"/>
      </rPr>
      <t>*</t>
    </r>
    <r>
      <rPr>
        <sz val="10"/>
        <color theme="1"/>
        <rFont val="Futura Bk BT"/>
        <family val="2"/>
      </rPr>
      <t>U = 0,75</t>
    </r>
  </si>
  <si>
    <t>TOTALI</t>
  </si>
  <si>
    <t>Infissi</t>
  </si>
  <si>
    <t>Solaio verso ANR</t>
  </si>
  <si>
    <t>ID</t>
  </si>
  <si>
    <t>POSIZIONE</t>
  </si>
  <si>
    <t>H't verifica</t>
  </si>
  <si>
    <t>EPOCA</t>
  </si>
  <si>
    <t>PERIMETRO</t>
  </si>
  <si>
    <t>SUPERFICIE</t>
  </si>
  <si>
    <t>S/V</t>
  </si>
  <si>
    <t>H't [w/mqK]</t>
  </si>
  <si>
    <t>FINESTRE mq</t>
  </si>
  <si>
    <t>N_FIN</t>
  </si>
  <si>
    <t>finestra media</t>
  </si>
  <si>
    <t>PILOTIS</t>
  </si>
  <si>
    <t>SOTTOT.</t>
  </si>
  <si>
    <t>UNITA' IMM.</t>
  </si>
  <si>
    <t>01</t>
  </si>
  <si>
    <t>CORSO AGNELLI 156 SC.4-5-6 DINA 33-39</t>
  </si>
  <si>
    <t>NO</t>
  </si>
  <si>
    <t>02</t>
  </si>
  <si>
    <t>CORSO AGNELLI 156 SC.7-8-9</t>
  </si>
  <si>
    <t>03</t>
  </si>
  <si>
    <t>CORSO AGNELLI 156 SC.10-11-12-13</t>
  </si>
  <si>
    <t>04</t>
  </si>
  <si>
    <t>CORSO AGNELLI 156 SC.14-15-16</t>
  </si>
  <si>
    <t>05</t>
  </si>
  <si>
    <t>CORSO AGNELLI 156 SC.17-18-19</t>
  </si>
  <si>
    <t>06</t>
  </si>
  <si>
    <t>CORSO AGNELLI 156 SC.23-24-25-26</t>
  </si>
  <si>
    <t>07</t>
  </si>
  <si>
    <t>VIA DE BERNARDI 2 SC.27-28-29</t>
  </si>
  <si>
    <t>08</t>
  </si>
  <si>
    <t>VIA DE BERNARDI 2 SC.30-31-32 DINA 45-47-49-51</t>
  </si>
  <si>
    <t>09</t>
  </si>
  <si>
    <t>VIA DE BERNARDI 2 SC.36-37-38-39</t>
  </si>
  <si>
    <t>10</t>
  </si>
  <si>
    <t>VIA DE BERNARDI 2 SC.46-47-48</t>
  </si>
  <si>
    <t>11</t>
  </si>
  <si>
    <t>VIA DE BERNARDI 2 SC.49-50-51-52</t>
  </si>
  <si>
    <t>12</t>
  </si>
  <si>
    <t>CORSO LECCE 25 SC.1-2</t>
  </si>
  <si>
    <t>13</t>
  </si>
  <si>
    <t>CORSO LECCE 25 SC.3-4</t>
  </si>
  <si>
    <t>14</t>
  </si>
  <si>
    <t>CORSO LECCE 25 SC.5-6</t>
  </si>
  <si>
    <t>15</t>
  </si>
  <si>
    <t>CORSO LECCE 25 SC.7-8</t>
  </si>
  <si>
    <t>16</t>
  </si>
  <si>
    <t>CORSO LECCE 25 SC.9-10</t>
  </si>
  <si>
    <t>17</t>
  </si>
  <si>
    <t>CORSO LECCE 25 SC.11-12</t>
  </si>
  <si>
    <t>18</t>
  </si>
  <si>
    <t>CORSO LECCE 31 SC.13-14-15</t>
  </si>
  <si>
    <t>19</t>
  </si>
  <si>
    <t>CORSO LECCE 31 SC.16-17</t>
  </si>
  <si>
    <t>20</t>
  </si>
  <si>
    <t>CORSO LECCE 31 SC.18-19</t>
  </si>
  <si>
    <t>21</t>
  </si>
  <si>
    <t>CORSO LECCE 31 SC.20-21</t>
  </si>
  <si>
    <t>22</t>
  </si>
  <si>
    <t>CORSO LECCE 31 SC.22-23</t>
  </si>
  <si>
    <t>23</t>
  </si>
  <si>
    <t>CORSO LECCE 33 SC.24-25</t>
  </si>
  <si>
    <t>24</t>
  </si>
  <si>
    <t>CORSO LECCE 33 SC.26-27</t>
  </si>
  <si>
    <t>25</t>
  </si>
  <si>
    <t>CORSO LECCE 33 SC.28-29</t>
  </si>
  <si>
    <t>26</t>
  </si>
  <si>
    <t>CORSO LECCE 33 SC.30-31</t>
  </si>
  <si>
    <t>27</t>
  </si>
  <si>
    <t>CORSO LECCE 33 SC.32-33</t>
  </si>
  <si>
    <t>28</t>
  </si>
  <si>
    <t>CORSO LECCE 33 SC.36-37</t>
  </si>
  <si>
    <t>29</t>
  </si>
  <si>
    <t>CORSO TOSCANA 151 SC.1, 153 SC.2-5, CINCINNATO 159,161</t>
  </si>
  <si>
    <t>30</t>
  </si>
  <si>
    <t>CORSO TOSCANA 153 SC. 6-7-8-9</t>
  </si>
  <si>
    <t>31</t>
  </si>
  <si>
    <t>CORSO TOSCANA 177 SC.35</t>
  </si>
  <si>
    <t>32</t>
  </si>
  <si>
    <t>VIA PARENZO 68 SC.10-11-72-30-74-31-76-32</t>
  </si>
  <si>
    <t>33</t>
  </si>
  <si>
    <t>PIAZZA CIRENE 10 SC.A-B-C-D</t>
  </si>
  <si>
    <t>SI</t>
  </si>
  <si>
    <t>34</t>
  </si>
  <si>
    <t>VIA SANSOVINO 3 A-B-C-D</t>
  </si>
  <si>
    <t>35</t>
  </si>
  <si>
    <t>VIA SANSOVINO 7 A-B-C-D</t>
  </si>
  <si>
    <t>36</t>
  </si>
  <si>
    <t>VIA SANSOVINO 11 A-B-C-D</t>
  </si>
  <si>
    <t>37</t>
  </si>
  <si>
    <t>VIA SANSOVINO 15 A-B-C-D</t>
  </si>
  <si>
    <t>38</t>
  </si>
  <si>
    <t>VIA FABRIZI 76 SC. 38-39</t>
  </si>
  <si>
    <t>39</t>
  </si>
  <si>
    <t>VIA FABRIZI 76 SC. 40-41</t>
  </si>
  <si>
    <t>40</t>
  </si>
  <si>
    <t>VIA FABRIZI 76 SC. 42-43-44-45-46</t>
  </si>
  <si>
    <t>41</t>
  </si>
  <si>
    <t>VIA FABRIZI 76 SC. 47-48</t>
  </si>
  <si>
    <t>42</t>
  </si>
  <si>
    <t>VIA FABRIZI 80 SC. 49-50</t>
  </si>
  <si>
    <t>43</t>
  </si>
  <si>
    <t>VIA FABRIZI 80 SC. 51-52</t>
  </si>
  <si>
    <t>44</t>
  </si>
  <si>
    <t>VIA FABRIZI 80 SC. 53-54</t>
  </si>
  <si>
    <t>45</t>
  </si>
  <si>
    <t>VIA FABRIZI 80 SC. 55-56</t>
  </si>
  <si>
    <t>46</t>
  </si>
  <si>
    <t>VIA FORLI' 65 SC. 18-19-20-21-33-34-35-36</t>
  </si>
  <si>
    <t>47</t>
  </si>
  <si>
    <t>VIA FORLI' 65 SC. 22-23-24-25</t>
  </si>
  <si>
    <t>48</t>
  </si>
  <si>
    <t>VIA FORLI' 65 SC. 26-27-28-29</t>
  </si>
  <si>
    <t>49</t>
  </si>
  <si>
    <t>VIA FORLI' 65 SC. 30-31-32</t>
  </si>
  <si>
    <t>50</t>
  </si>
  <si>
    <t>VIA VEROLENGO 115 SC. 10-11-12-13-14-15-16-18-20</t>
  </si>
  <si>
    <t>51</t>
  </si>
  <si>
    <t>VIA VEROLENGO 181 SC.1-2-3-15-16-17</t>
  </si>
  <si>
    <t>52</t>
  </si>
  <si>
    <t>VIA VEROLENGO 181 SC.4-5-6</t>
  </si>
  <si>
    <t>53</t>
  </si>
  <si>
    <t>VIA VEROLENGO 181 SC.7-8-9-10</t>
  </si>
  <si>
    <t>54</t>
  </si>
  <si>
    <t>VIA VEROLENGO 181 SC.11-12-13-14</t>
  </si>
  <si>
    <t>55</t>
  </si>
  <si>
    <t>VIA GALLINA 3 SC. 11-12-13-14-15-16</t>
  </si>
  <si>
    <t>56</t>
  </si>
  <si>
    <t>VIA GALLINA 3 SC. 17-18-19-20</t>
  </si>
  <si>
    <t>57</t>
  </si>
  <si>
    <t>VIA SCARSELLINI 12 SC. A</t>
  </si>
  <si>
    <t>58</t>
  </si>
  <si>
    <t>VIA SCARSELLINI 12 SC. B</t>
  </si>
  <si>
    <t>59</t>
  </si>
  <si>
    <t>VIA SCARSELLINI 12 SC. C</t>
  </si>
  <si>
    <t>60</t>
  </si>
  <si>
    <t>VIA SCARSELLINI 12 SC. D</t>
  </si>
  <si>
    <t>61</t>
  </si>
  <si>
    <t>VIA SCARSELLINI 12 SC. E</t>
  </si>
  <si>
    <t>62</t>
  </si>
  <si>
    <t>VIA SCARSELLINI 12 SC. F</t>
  </si>
  <si>
    <t>63</t>
  </si>
  <si>
    <t>VIA GHEDINI 12 SC.19-20-21</t>
  </si>
  <si>
    <t>64</t>
  </si>
  <si>
    <t>VIA GHEDINI 19 SC. 29-30-31</t>
  </si>
  <si>
    <t>65</t>
  </si>
  <si>
    <t>VIA GHEDINI 12 SC. 17-18</t>
  </si>
  <si>
    <t>66</t>
  </si>
  <si>
    <t>VIA GHEDINI 12 SC. 14-15-16</t>
  </si>
  <si>
    <t>67</t>
  </si>
  <si>
    <t>VIA MADDALENE 30 SC. 13</t>
  </si>
  <si>
    <t>68</t>
  </si>
  <si>
    <t>VIA MADDALENE 30 SC.9 MADDALENE 34 SC.8</t>
  </si>
  <si>
    <t>69</t>
  </si>
  <si>
    <t>VIA MADDALENE 34 SC. 1</t>
  </si>
  <si>
    <t>70</t>
  </si>
  <si>
    <t>VIA GALLUPPI 12 SC. D</t>
  </si>
  <si>
    <t>71</t>
  </si>
  <si>
    <t>VIA GALLUPPI 12 SC. H</t>
  </si>
  <si>
    <t>72</t>
  </si>
  <si>
    <t>VIA GALLUPPI 12 SC. ILM</t>
  </si>
  <si>
    <t>73</t>
  </si>
  <si>
    <t>VIA GALLUPPI 12 SC. NOP</t>
  </si>
  <si>
    <t>74</t>
  </si>
  <si>
    <t>VIA LUSERNA DI RORA' 11 SC. 6-7-8-9-10</t>
  </si>
  <si>
    <t>75</t>
  </si>
  <si>
    <t>VIA POMA 11 SC. A</t>
  </si>
  <si>
    <t>76</t>
  </si>
  <si>
    <t>VIA POMA 11 SC. B</t>
  </si>
  <si>
    <t>77</t>
  </si>
  <si>
    <t>VIA POMA 11 SC. D</t>
  </si>
  <si>
    <t>78</t>
  </si>
  <si>
    <t>VIA POMA 11 SC. E</t>
  </si>
  <si>
    <t>79</t>
  </si>
  <si>
    <t>VIA POMA 11 SC. F</t>
  </si>
  <si>
    <t>80</t>
  </si>
  <si>
    <t>VIA POMA 11 SC. G-H-I-L-M-N-O-P-Q</t>
  </si>
  <si>
    <t>81</t>
  </si>
  <si>
    <t>VIA ARQUATA 13 SC. 16-17</t>
  </si>
  <si>
    <t>82</t>
  </si>
  <si>
    <t>VIA ARQUATA 15 SC. 39-40</t>
  </si>
  <si>
    <t>83</t>
  </si>
  <si>
    <t>VIA ARQUATA 15 SC. 47-48</t>
  </si>
  <si>
    <t>84</t>
  </si>
  <si>
    <t>VIA ARQUATA 16 SC. 25-26</t>
  </si>
  <si>
    <t>85</t>
  </si>
  <si>
    <t>VIA ARQUATA 16 SC. 27-28</t>
  </si>
  <si>
    <t>86</t>
  </si>
  <si>
    <t>VIA ARQUATA 16 SC. 29-30</t>
  </si>
  <si>
    <t>87</t>
  </si>
  <si>
    <t>VIA ARQUATA 16 SC. 33-34</t>
  </si>
  <si>
    <t>88</t>
  </si>
  <si>
    <t>VIA ARQUATA 16 SC. 35-36</t>
  </si>
  <si>
    <t>89</t>
  </si>
  <si>
    <t>VIA ARQUATA 22 SC. 49-50</t>
  </si>
  <si>
    <t>90</t>
  </si>
  <si>
    <t>VIA ARQUATA 22 SC. 51-52</t>
  </si>
  <si>
    <t>91</t>
  </si>
  <si>
    <t>VIA ARQUATA 22 SC. 53-54</t>
  </si>
  <si>
    <t>92</t>
  </si>
  <si>
    <t>VIA ARQUATA 22 SC. 55-56</t>
  </si>
  <si>
    <t>93</t>
  </si>
  <si>
    <t>VIA ARQUATA 22 SC. 57-58</t>
  </si>
  <si>
    <t>94</t>
  </si>
  <si>
    <t>VIA ARQUATA 22 SC. 59-60</t>
  </si>
  <si>
    <t>95</t>
  </si>
  <si>
    <t>VIA ARQUATA 22 SC. 61-62</t>
  </si>
  <si>
    <t>96</t>
  </si>
  <si>
    <t>VIA ARQUATA 23 SC. 63-64</t>
  </si>
  <si>
    <t>97</t>
  </si>
  <si>
    <t>VIA ARQUATA 23 SC. 65-66</t>
  </si>
  <si>
    <t>98</t>
  </si>
  <si>
    <t>VIA ARQUATA 23 SC. 69-70-71</t>
  </si>
  <si>
    <t>99</t>
  </si>
  <si>
    <t>VIA ARQUATA 23 SC. 72-73</t>
  </si>
  <si>
    <t>100</t>
  </si>
  <si>
    <t>VIA ARQUATA 23 SC. 74-75</t>
  </si>
  <si>
    <t>101</t>
  </si>
  <si>
    <t>VIA ARQUATA 23 SC. 76-77</t>
  </si>
  <si>
    <t>102</t>
  </si>
  <si>
    <t>VIA ARQUATA 23 SC. 78-79</t>
  </si>
  <si>
    <t>103</t>
  </si>
  <si>
    <t>CORSO CINCINNATO 203-205-207-209-211-213-215-217-219-221-223</t>
  </si>
  <si>
    <t>104</t>
  </si>
  <si>
    <t>CORSO CINCINNATO 227-229-231-235-237-239-241</t>
  </si>
  <si>
    <t>105</t>
  </si>
  <si>
    <t>CORSO GIULIO CESARE 83</t>
  </si>
  <si>
    <t>106</t>
  </si>
  <si>
    <t>CORSO GIULIO CESARE 267-269-271</t>
  </si>
  <si>
    <t>107</t>
  </si>
  <si>
    <t>CORSO GROSSETO 361 SC.5</t>
  </si>
  <si>
    <t>108</t>
  </si>
  <si>
    <t>CORSO LIONE 46-48-50-52-54</t>
  </si>
  <si>
    <t>109</t>
  </si>
  <si>
    <t>CORSO MORTARA 44 SC. AB 46 SC. AC</t>
  </si>
  <si>
    <t>110</t>
  </si>
  <si>
    <t>CORSO PESCHIERA 296</t>
  </si>
  <si>
    <t>111</t>
  </si>
  <si>
    <t>CORSO RACCONIGI 25 SC. 1-3-5</t>
  </si>
  <si>
    <t>112</t>
  </si>
  <si>
    <t>CORSO RACCONIGI 25 SC. 7-9-11</t>
  </si>
  <si>
    <t>113</t>
  </si>
  <si>
    <t>CORSO RACCONIGI 25 SC. 2-4-6-8-10-12</t>
  </si>
  <si>
    <t>114</t>
  </si>
  <si>
    <t>CORSO RACCONIGI 25 SC. 13-15-17</t>
  </si>
  <si>
    <t>115</t>
  </si>
  <si>
    <t>CORSO RACCONIGI 25 SC. 14-16-18-18B-20-22-24</t>
  </si>
  <si>
    <t>116</t>
  </si>
  <si>
    <t>CORSO RACCONIGI 25 SC. 19-21-23</t>
  </si>
  <si>
    <t>117</t>
  </si>
  <si>
    <t>CORSO RE UMBERTO 36</t>
  </si>
  <si>
    <t>118</t>
  </si>
  <si>
    <t>CORSO REGINA MARGHERITA 115/B PZZ DELLA REPUBBLICA 8-10 SC. DE</t>
  </si>
  <si>
    <t>119</t>
  </si>
  <si>
    <t>CORSO REGINA MARGHERITA 158 SC. AB</t>
  </si>
  <si>
    <t>120</t>
  </si>
  <si>
    <t>LUNGO DORA VOGHERA 110 SC. A-B-C-D-E</t>
  </si>
  <si>
    <t>121</t>
  </si>
  <si>
    <t>LUNGO DORA VOGHERA 130-132-134</t>
  </si>
  <si>
    <t>122</t>
  </si>
  <si>
    <t>LUNGO DORA VOGHERA 142 SC. 3-4</t>
  </si>
  <si>
    <t>123</t>
  </si>
  <si>
    <t>PIAZZA ALBERA 11 PZZ DELLA REPUBBLICA 22 SC. C</t>
  </si>
  <si>
    <t>124</t>
  </si>
  <si>
    <t>PIAZZA EMANUELE FILIBERTO 1</t>
  </si>
  <si>
    <t>125</t>
  </si>
  <si>
    <t>PIAZZA EMANUELE FILIBERTO 3</t>
  </si>
  <si>
    <t>126</t>
  </si>
  <si>
    <t>VIA SANT'AGOSTINO 25 SC.AB BONELLI 12 PZZ. E. FILIBERTO 11</t>
  </si>
  <si>
    <t>127</t>
  </si>
  <si>
    <t>STRADA DEL CASCINOTTO 37 SC. A-B-C</t>
  </si>
  <si>
    <t>128</t>
  </si>
  <si>
    <t>STRADA DEL CASCINOTTO 39 SC. A-B-C</t>
  </si>
  <si>
    <t>129</t>
  </si>
  <si>
    <t>STRADA DEL CASCINOTTO 41 SC. A-B-C</t>
  </si>
  <si>
    <t>STRADA DEL CASCINOTTO 48-50-52-54</t>
  </si>
  <si>
    <t xml:space="preserve">STRADA DEL CASCINOTTO 56 SC. A-B-C </t>
  </si>
  <si>
    <t>STRADA DEL CASCINOTTO 58-60-62</t>
  </si>
  <si>
    <t>STRADA DELLE CACCE 66</t>
  </si>
  <si>
    <t>STRADA DELLE CACCE 108-110</t>
  </si>
  <si>
    <t>STRADA DELLE CACCE 122-124-126</t>
  </si>
  <si>
    <t>STRADA DELLE CACCE 130-132</t>
  </si>
  <si>
    <t>VIA ABETI 1-3</t>
  </si>
  <si>
    <t>BOX</t>
  </si>
  <si>
    <t>VIA ABETI 29-31</t>
  </si>
  <si>
    <t>VIA ANGLESIO 35 SC. ABC</t>
  </si>
  <si>
    <t>VIA ANGLESIO 36 SC. ABC</t>
  </si>
  <si>
    <t>VIA AVELLINO 3-5</t>
  </si>
  <si>
    <t>VIA BELLEZIA 27</t>
  </si>
  <si>
    <t>VIA BELLEZIA 29</t>
  </si>
  <si>
    <t>VIA BELLEZIA 33</t>
  </si>
  <si>
    <t>VIA BELLEZIA 35</t>
  </si>
  <si>
    <t>VIA BIANCO CARLO 5-7</t>
  </si>
  <si>
    <t>VIA BONELLI 1</t>
  </si>
  <si>
    <t>VIA BONELLI 2</t>
  </si>
  <si>
    <t>VIA BONELLI 4</t>
  </si>
  <si>
    <t>VIA BONELLI 3 SANT'AGOSTINO 26-28 S. CHIARA 14</t>
  </si>
  <si>
    <t>VIA CAREMA 2-4-6-8</t>
  </si>
  <si>
    <t>VIA CARESANA 3-5-7-9-11</t>
  </si>
  <si>
    <t>VIA CARMAGNOLA 16</t>
  </si>
  <si>
    <t>VIA CASALEGGIO 6</t>
  </si>
  <si>
    <t>VIA CASALEGGIO 7</t>
  </si>
  <si>
    <t>156</t>
  </si>
  <si>
    <t>VIA CECCHI 63 SC.1</t>
  </si>
  <si>
    <t>PIAZZA CIMAROSA 30 SC. 1-3-5-7</t>
  </si>
  <si>
    <t>PIAZZA CIMAROSA 30 SC. 2-4-6-8</t>
  </si>
  <si>
    <t>PIAZZA CIMAROSA 30 SC. 10-12-14</t>
  </si>
  <si>
    <t>VIA CORELLI 37-39-41</t>
  </si>
  <si>
    <t>VIA COTTOLENGO 25 GERDIL 7</t>
  </si>
  <si>
    <t>VIA CRAVERO 33 SC.23-24-25</t>
  </si>
  <si>
    <t xml:space="preserve">VIA CRAVERO 33 SC. 26-27-28 </t>
  </si>
  <si>
    <t>VIA CRAVERO 33 SC. 29-30-31</t>
  </si>
  <si>
    <t>VIA CRAVERO 37 SC. 20-21-22</t>
  </si>
  <si>
    <t>VIA CRAVERO 41 SC. 11-12-13</t>
  </si>
  <si>
    <t>VIA CRAVERO 41 SC. 14-15-16</t>
  </si>
  <si>
    <t>VIA CRAVERO 45 SC. 5-6-7</t>
  </si>
  <si>
    <t>VIA CRAVERO 45 SC. 8-9-10</t>
  </si>
  <si>
    <t>VIA CUNEO 30 SC. 7-8-9-10-11-12-13 DAMIANO 15 SC. 1-2-3-4-14-15-16-17</t>
  </si>
  <si>
    <t>VIA DEL PRETE 45 SC. 3-4</t>
  </si>
  <si>
    <t>VIA DINA 32 SC. 5-6-7</t>
  </si>
  <si>
    <t>VIA DINA 32 SC. 28</t>
  </si>
  <si>
    <t>VIA DINA 38 SC. 30-31-32</t>
  </si>
  <si>
    <t>VIA DINA 52 SC. 6-7-8-9-10</t>
  </si>
  <si>
    <t>VIA DINA 52 SC. 11-12-13-14-15-16-17-18-19-20-21</t>
  </si>
  <si>
    <t>VIA DINA 56 SC. 35-36-37</t>
  </si>
  <si>
    <t>VIA DINA 61 SC. 1-2-3</t>
  </si>
  <si>
    <t>VIA DINA 64 SC. 27-28-29</t>
  </si>
  <si>
    <t>VIA DINA 65 SC. 4-5-6</t>
  </si>
  <si>
    <t>VIA DINA 69 SC. 7-8-9</t>
  </si>
  <si>
    <t>VIA FIESOLE 18</t>
  </si>
  <si>
    <t>VIA FORONI 6</t>
  </si>
  <si>
    <t>VIA FRATTINI 12 SC. 10-11-12</t>
  </si>
  <si>
    <t>VIA FRATTINI 12 SC. 16-17-18</t>
  </si>
  <si>
    <t>VIA GOTTARDO 275 SC. 2-4</t>
  </si>
  <si>
    <t>VIA GOTTARDO 275 SC. 9</t>
  </si>
  <si>
    <t>VIA GOTTARDO 275 SC. 19</t>
  </si>
  <si>
    <t>VIA GOTTARDO 275 SC. 20</t>
  </si>
  <si>
    <t>VIA GOTTARDO 275 SC. 21</t>
  </si>
  <si>
    <t>VIA GOTTARDO 275 SC. 24</t>
  </si>
  <si>
    <t>VIA IVREA 15-17-19-21-25-27</t>
  </si>
  <si>
    <t>VIA LABRIOLA 7-9</t>
  </si>
  <si>
    <t>VIA LANCIA 102 SC. 1-2-3-4-5-6-7-8 92 SC. 9-10-11-12-13-14-15</t>
  </si>
  <si>
    <t>VIA LAURO ROSSI 43 SC. 7-8</t>
  </si>
  <si>
    <t>VIA MAZZINI 44 SC. A-B-C-D-E</t>
  </si>
  <si>
    <t>VIA MITTONE 6-8</t>
  </si>
  <si>
    <t>VIA MONCRIVELLO 1 SC. 16-18-20-22</t>
  </si>
  <si>
    <t>VIA MONCRIVELLO 1 SC. 24-26-28-30</t>
  </si>
  <si>
    <t>VIA MONCRIVELLO 1 SC. 25-27-29-31</t>
  </si>
  <si>
    <t>VIA MONTEVIDEO 21 SC. 1-2-3-4-5-6-7-8</t>
  </si>
  <si>
    <t>VIA MONTEVIDEO 33 SC. 25-26-27-28-29-30-31-32</t>
  </si>
  <si>
    <t>VIA NIZZA 15-17</t>
  </si>
  <si>
    <t>PORT</t>
  </si>
  <si>
    <t>VIA PASSONI 2</t>
  </si>
  <si>
    <t>VIA PERGOLESI 91 SC. ABCD</t>
  </si>
  <si>
    <t>VIA PERVINCHE 25</t>
  </si>
  <si>
    <t>VIA PERVINCHE 51 SC. AB</t>
  </si>
  <si>
    <t>VIA PERVINCHE 53 SC. D</t>
  </si>
  <si>
    <t>VIA PETRELLA 75 PIETRACQUA 19</t>
  </si>
  <si>
    <t>VIA PIETRACQUA 21-23-25-27-29-31</t>
  </si>
  <si>
    <t>VIA PIETRACQUA 35 CRUTO 24</t>
  </si>
  <si>
    <t>VIA PIANFEI 6-8 AQUILA 28-30 CEVA 33-35</t>
  </si>
  <si>
    <t>VIA PORTA PALATINA 4</t>
  </si>
  <si>
    <t>VIA PORTA PALATINA 6</t>
  </si>
  <si>
    <t>VIA PORTA PALATINA 13</t>
  </si>
  <si>
    <t>VIA POSTUMIA 25</t>
  </si>
  <si>
    <t>VIA PRIMULE 4</t>
  </si>
  <si>
    <t>VIA PRIMULE 8</t>
  </si>
  <si>
    <t>VIA PRIMULE 18 SC. BCDEFG</t>
  </si>
  <si>
    <t>VIA PRIMULE 18 SC. HIL</t>
  </si>
  <si>
    <t>VIA PRIMULE 18 SC. OP</t>
  </si>
  <si>
    <t>VIA QUERCE 29-31-33</t>
  </si>
  <si>
    <t>VIA QUERCE 75-77-79</t>
  </si>
  <si>
    <t>VIA QUERCE 81-83</t>
  </si>
  <si>
    <t>VIA SANTA CHIARA 10</t>
  </si>
  <si>
    <t>VIA ROVEDA 17</t>
  </si>
  <si>
    <t>VIA ROVEDA 18</t>
  </si>
  <si>
    <t>VIA SCIALOJA 10-12-14-16-18</t>
  </si>
  <si>
    <t>VIA SCIALOJA 28-30-32-34</t>
  </si>
  <si>
    <t>VIA SERVAIS 159</t>
  </si>
  <si>
    <t>VIA SERVAIS 173</t>
  </si>
  <si>
    <t>VIA SERVAIS 177</t>
  </si>
  <si>
    <t>VIA SERVAIS 181</t>
  </si>
  <si>
    <t>VIA SERVAIS 197</t>
  </si>
  <si>
    <t>VIA SINIGAGLIA 1-3</t>
  </si>
  <si>
    <t>VIA SINIGAGLIA 5-7</t>
  </si>
  <si>
    <t>VIA TAGGIA 20 SC. 17-18-19-20-21-22-23-24</t>
  </si>
  <si>
    <t>VIA TRIPOLI 71 SC. 1-8 SEBASTOPOLI 161 TRIPOLI 69</t>
  </si>
  <si>
    <t>VIA TRIPOLI 75</t>
  </si>
  <si>
    <t>VIA TUNISI 105 SC. 9-10-11-12-13-14-15-16</t>
  </si>
  <si>
    <t>VIA ULIVI 60-62-64</t>
  </si>
  <si>
    <t>VIA ULIVI 66-68</t>
  </si>
  <si>
    <t>VIA ULIVI 76-78</t>
  </si>
  <si>
    <t>VIA ULIVI 92-94-96</t>
  </si>
  <si>
    <t>VIA VERGA 10-12-14</t>
  </si>
  <si>
    <t>VIA VITTIME DI BOLOGNA 5-7</t>
  </si>
  <si>
    <t>VIA VITTIME DI BOLOGNA 13-15</t>
  </si>
  <si>
    <t>VIALE DEI MUGHETTI 9</t>
  </si>
  <si>
    <t xml:space="preserve">VIALE DEI MUGHETTI 17 </t>
  </si>
  <si>
    <t>VIALE DEI MUGHETTI 23 SC. ABC</t>
  </si>
  <si>
    <t>VIA LUIGI DAMIANO 15 SC. 5-6</t>
  </si>
  <si>
    <t>SUP. FAC. Netta
Totale</t>
  </si>
  <si>
    <t>UNITA' IMM.
Totali</t>
  </si>
  <si>
    <t>Prima del 1900</t>
  </si>
  <si>
    <t>Dopo il 2006</t>
  </si>
  <si>
    <t>TOTALE</t>
  </si>
  <si>
    <t>MEDIA</t>
  </si>
  <si>
    <t>Edifici in blocco</t>
  </si>
  <si>
    <t>SUP. FAC.
Netta</t>
  </si>
  <si>
    <t>Isolamento
MURATURA</t>
  </si>
  <si>
    <t>INFISSI</t>
  </si>
  <si>
    <t>Isolamento
TETTO</t>
  </si>
  <si>
    <t>Isolamento
SOTTOTETTO</t>
  </si>
  <si>
    <t>Isolamento
SOLAIO ANR</t>
  </si>
  <si>
    <t>Isolamento
INF. ESTERNO</t>
  </si>
  <si>
    <t>SUP. FIN.
Mq Totale</t>
  </si>
  <si>
    <t>H't
Medio Massimo</t>
  </si>
  <si>
    <t>H't
Medio Verificato</t>
  </si>
  <si>
    <t>INTERVENTI</t>
  </si>
  <si>
    <t>INTERVENTI
FINITI</t>
  </si>
  <si>
    <t>€</t>
  </si>
  <si>
    <t>INF EST SUP AMB NON RISCALDATO</t>
  </si>
  <si>
    <t>AMB NON RISCALDATO</t>
  </si>
  <si>
    <t>INF EST SUP TETTO FALDA</t>
  </si>
  <si>
    <t>AMB NON RISC TETTO FALDA</t>
  </si>
  <si>
    <t>1 ANR-Cantina</t>
  </si>
  <si>
    <t>2 Tetto a falda - cantina</t>
  </si>
  <si>
    <t>TOTALI NETTO OPACO</t>
  </si>
  <si>
    <t>TOTALE NETTO INFISSI</t>
  </si>
  <si>
    <t>TOTALE NETTO OPACO</t>
  </si>
  <si>
    <t>CALCOLI</t>
  </si>
  <si>
    <t>netto opaco</t>
  </si>
  <si>
    <t>max opaco</t>
  </si>
  <si>
    <t>netto infisso</t>
  </si>
  <si>
    <t>max infisso</t>
  </si>
  <si>
    <t>1945-1960</t>
  </si>
  <si>
    <t>Blocco di edifici</t>
  </si>
  <si>
    <t>&lt;1900</t>
  </si>
  <si>
    <t>&gt;2006</t>
  </si>
  <si>
    <t>netto opaco MAX</t>
  </si>
  <si>
    <t>netto opaco INT</t>
  </si>
  <si>
    <t>totale opaco INT</t>
  </si>
  <si>
    <t>netto infisso INT</t>
  </si>
  <si>
    <t>netto infisso MAX</t>
  </si>
  <si>
    <t>totale infisso INT</t>
  </si>
  <si>
    <t>max opaco + MD</t>
  </si>
  <si>
    <t>max infisso + MD</t>
  </si>
  <si>
    <t>isolamento dall'interno con pannello bassa trasmittanza e termointonaco
U = 0,005 [W/(m2K)]</t>
  </si>
  <si>
    <t>TOTALE EDIFICI</t>
  </si>
  <si>
    <t>Solaio verso cantina</t>
  </si>
  <si>
    <r>
      <t xml:space="preserve">In legno con vetro singolo
U = 4,90 [W/(m2K)] </t>
    </r>
    <r>
      <rPr>
        <sz val="10"/>
        <color rgb="FFFF0000"/>
        <rFont val="Open Sans"/>
        <family val="2"/>
      </rPr>
      <t>*</t>
    </r>
  </si>
  <si>
    <r>
      <rPr>
        <sz val="10"/>
        <color rgb="FFFF0000"/>
        <rFont val="Open Sans"/>
        <family val="2"/>
      </rPr>
      <t>*</t>
    </r>
    <r>
      <rPr>
        <sz val="10"/>
        <color theme="1"/>
        <rFont val="Open Sans"/>
        <family val="2"/>
      </rPr>
      <t>U = 2,2</t>
    </r>
  </si>
  <si>
    <r>
      <t xml:space="preserve">In metallo senza taglio termico
U = 5,70 [W/(m2K)] </t>
    </r>
    <r>
      <rPr>
        <sz val="10"/>
        <color rgb="FFFF0000"/>
        <rFont val="Open Sans"/>
        <family val="2"/>
      </rPr>
      <t>*</t>
    </r>
  </si>
  <si>
    <r>
      <rPr>
        <sz val="10"/>
        <color rgb="FFFF0000"/>
        <rFont val="Open Sans"/>
        <family val="2"/>
      </rPr>
      <t>*</t>
    </r>
    <r>
      <rPr>
        <sz val="10"/>
        <color theme="1"/>
        <rFont val="Open Sans"/>
        <family val="2"/>
      </rPr>
      <t>U = 3,70</t>
    </r>
  </si>
  <si>
    <r>
      <t xml:space="preserve">Piano in laterocemento
U = 1,85 [W/(m2K)] </t>
    </r>
    <r>
      <rPr>
        <sz val="10"/>
        <color rgb="FFFF0000"/>
        <rFont val="Open Sans"/>
        <family val="2"/>
      </rPr>
      <t>*</t>
    </r>
  </si>
  <si>
    <r>
      <rPr>
        <sz val="10"/>
        <color rgb="FFFF0000"/>
        <rFont val="Open Sans"/>
        <family val="2"/>
      </rPr>
      <t>*</t>
    </r>
    <r>
      <rPr>
        <sz val="10"/>
        <color theme="1"/>
        <rFont val="Open Sans"/>
        <family val="2"/>
      </rPr>
      <t>U = 0,75</t>
    </r>
  </si>
  <si>
    <r>
      <t xml:space="preserve">Isolamento estradosso in EPS 12 cm
U = 0,24 [W/(m2K)] </t>
    </r>
    <r>
      <rPr>
        <sz val="10"/>
        <color rgb="FFFF0000"/>
        <rFont val="Open Sans"/>
        <family val="2"/>
      </rPr>
      <t>*</t>
    </r>
  </si>
  <si>
    <t>no perché rientriamo già nell'H't</t>
  </si>
  <si>
    <t>&lt; 1900</t>
  </si>
  <si>
    <t>&gt; 2006</t>
  </si>
  <si>
    <t>1901-20</t>
  </si>
  <si>
    <t>1921-45</t>
  </si>
  <si>
    <t>1946-60</t>
  </si>
  <si>
    <t>1961-75</t>
  </si>
  <si>
    <t>1976-90</t>
  </si>
  <si>
    <t>H't
verificato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</si>
</sst>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&quot;€&quot;\ 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Futura Bk BT"/>
      <family val="2"/>
    </font>
    <font>
      <b/>
      <sz val="11"/>
      <color theme="0"/>
      <name val="Futura Bk BT"/>
      <family val="2"/>
    </font>
    <font>
      <b/>
      <sz val="11"/>
      <color rgb="FFFF0000"/>
      <name val="Futura Bk BT"/>
      <family val="2"/>
    </font>
    <font>
      <sz val="10"/>
      <color theme="0"/>
      <name val="Futura Bk BT"/>
      <family val="2"/>
    </font>
    <font>
      <b/>
      <sz val="10"/>
      <color theme="0"/>
      <name val="Futura Bk BT"/>
      <family val="2"/>
    </font>
    <font>
      <sz val="10"/>
      <color theme="1"/>
      <name val="Calibri"/>
      <family val="2"/>
      <scheme val="minor"/>
    </font>
    <font>
      <b/>
      <sz val="10"/>
      <color theme="1"/>
      <name val="Futura Bk BT"/>
      <family val="2"/>
    </font>
    <font>
      <sz val="10"/>
      <color theme="1"/>
      <name val="Futura Bk BT"/>
      <family val="2"/>
    </font>
    <font>
      <sz val="10"/>
      <color rgb="FFFF0000"/>
      <name val="Futura Bk BT"/>
      <family val="2"/>
    </font>
    <font>
      <sz val="10"/>
      <color indexed="8"/>
      <name val="Arial"/>
      <family val="2"/>
    </font>
    <font>
      <b/>
      <sz val="10"/>
      <name val="Futura Bk BT"/>
      <family val="2"/>
    </font>
    <font>
      <b/>
      <sz val="9"/>
      <name val="Futura Bk BT"/>
      <family val="2"/>
    </font>
    <font>
      <sz val="10"/>
      <color indexed="8"/>
      <name val="Futura Bk BT"/>
      <family val="2"/>
    </font>
    <font>
      <sz val="9"/>
      <color theme="1"/>
      <name val="Futura Bk BT"/>
      <family val="2"/>
    </font>
    <font>
      <sz val="10"/>
      <name val="Futura Bk BT"/>
      <family val="2"/>
    </font>
    <font>
      <sz val="9"/>
      <name val="Futura Bk BT"/>
      <family val="2"/>
    </font>
    <font>
      <sz val="8"/>
      <name val="Calibri"/>
      <family val="2"/>
      <scheme val="minor"/>
    </font>
    <font>
      <sz val="10"/>
      <color theme="0"/>
      <name val="Open Sans"/>
      <family val="2"/>
    </font>
    <font>
      <b/>
      <sz val="10"/>
      <color theme="0"/>
      <name val="Open Sans"/>
      <family val="2"/>
    </font>
    <font>
      <sz val="10"/>
      <color theme="1"/>
      <name val="Open Sans"/>
      <family val="2"/>
    </font>
    <font>
      <b/>
      <sz val="10"/>
      <color theme="1"/>
      <name val="Open Sans"/>
      <family val="2"/>
    </font>
    <font>
      <sz val="18"/>
      <color theme="1"/>
      <name val="Open Sans"/>
      <family val="2"/>
    </font>
    <font>
      <b/>
      <sz val="18"/>
      <color rgb="FFFF0000"/>
      <name val="Open Sans"/>
      <family val="2"/>
    </font>
    <font>
      <sz val="10"/>
      <color rgb="FFFF0000"/>
      <name val="Open Sans"/>
      <family val="2"/>
    </font>
  </fonts>
  <fills count="28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900B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5">
    <xf numFmtId="0" fontId="0" fillId="0" borderId="0" xfId="0"/>
    <xf numFmtId="0" fontId="1" fillId="0" borderId="0" xfId="0" applyFont="1" applyFill="1" applyBorder="1" applyAlignment="1">
      <alignment wrapText="1"/>
    </xf>
    <xf numFmtId="0" fontId="5" fillId="8" borderId="33" xfId="0" applyFont="1" applyFill="1" applyBorder="1" applyAlignment="1">
      <alignment horizontal="center"/>
    </xf>
    <xf numFmtId="0" fontId="5" fillId="8" borderId="34" xfId="0" applyFont="1" applyFill="1" applyBorder="1" applyAlignment="1">
      <alignment horizontal="center"/>
    </xf>
    <xf numFmtId="0" fontId="6" fillId="0" borderId="0" xfId="0" applyFont="1"/>
    <xf numFmtId="0" fontId="8" fillId="0" borderId="3" xfId="0" applyFont="1" applyBorder="1"/>
    <xf numFmtId="0" fontId="8" fillId="0" borderId="20" xfId="0" applyFont="1" applyBorder="1"/>
    <xf numFmtId="0" fontId="8" fillId="0" borderId="10" xfId="0" applyFont="1" applyBorder="1" applyAlignment="1">
      <alignment vertical="top" wrapText="1"/>
    </xf>
    <xf numFmtId="0" fontId="8" fillId="0" borderId="1" xfId="0" applyFont="1" applyBorder="1" applyAlignment="1"/>
    <xf numFmtId="0" fontId="8" fillId="0" borderId="11" xfId="0" applyFont="1" applyBorder="1" applyAlignment="1"/>
    <xf numFmtId="0" fontId="6" fillId="0" borderId="0" xfId="0" applyFont="1" applyAlignment="1"/>
    <xf numFmtId="0" fontId="8" fillId="0" borderId="2" xfId="0" applyFont="1" applyBorder="1"/>
    <xf numFmtId="0" fontId="8" fillId="0" borderId="22" xfId="0" applyFont="1" applyBorder="1"/>
    <xf numFmtId="0" fontId="8" fillId="0" borderId="19" xfId="0" applyFont="1" applyFill="1" applyBorder="1" applyAlignment="1">
      <alignment wrapText="1"/>
    </xf>
    <xf numFmtId="0" fontId="8" fillId="0" borderId="1" xfId="0" applyFont="1" applyBorder="1"/>
    <xf numFmtId="0" fontId="8" fillId="0" borderId="11" xfId="0" applyFont="1" applyBorder="1"/>
    <xf numFmtId="0" fontId="8" fillId="0" borderId="11" xfId="0" applyFont="1" applyFill="1" applyBorder="1"/>
    <xf numFmtId="0" fontId="8" fillId="0" borderId="1" xfId="0" applyFont="1" applyFill="1" applyBorder="1"/>
    <xf numFmtId="0" fontId="8" fillId="0" borderId="2" xfId="0" applyFont="1" applyFill="1" applyBorder="1"/>
    <xf numFmtId="0" fontId="8" fillId="0" borderId="21" xfId="0" applyFont="1" applyFill="1" applyBorder="1" applyAlignment="1">
      <alignment wrapText="1"/>
    </xf>
    <xf numFmtId="0" fontId="8" fillId="5" borderId="5" xfId="0" applyFont="1" applyFill="1" applyBorder="1" applyAlignment="1">
      <alignment horizontal="center"/>
    </xf>
    <xf numFmtId="0" fontId="8" fillId="0" borderId="10" xfId="0" applyFont="1" applyFill="1" applyBorder="1" applyAlignment="1">
      <alignment wrapText="1"/>
    </xf>
    <xf numFmtId="0" fontId="4" fillId="8" borderId="18" xfId="0" applyFont="1" applyFill="1" applyBorder="1"/>
    <xf numFmtId="0" fontId="5" fillId="8" borderId="4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0" borderId="9" xfId="0" applyFont="1" applyBorder="1" applyAlignment="1">
      <alignment wrapText="1"/>
    </xf>
    <xf numFmtId="0" fontId="8" fillId="7" borderId="3" xfId="0" applyFont="1" applyFill="1" applyBorder="1"/>
    <xf numFmtId="0" fontId="8" fillId="7" borderId="1" xfId="0" applyFont="1" applyFill="1" applyBorder="1" applyAlignment="1"/>
    <xf numFmtId="0" fontId="8" fillId="3" borderId="10" xfId="0" applyFont="1" applyFill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7" borderId="1" xfId="0" applyFont="1" applyFill="1" applyBorder="1"/>
    <xf numFmtId="0" fontId="8" fillId="0" borderId="19" xfId="0" applyFont="1" applyBorder="1" applyAlignment="1">
      <alignment vertical="top" wrapText="1"/>
    </xf>
    <xf numFmtId="0" fontId="8" fillId="6" borderId="3" xfId="0" applyFont="1" applyFill="1" applyBorder="1"/>
    <xf numFmtId="0" fontId="8" fillId="6" borderId="1" xfId="0" applyFont="1" applyFill="1" applyBorder="1"/>
    <xf numFmtId="0" fontId="8" fillId="0" borderId="21" xfId="0" applyFont="1" applyBorder="1" applyAlignment="1">
      <alignment vertical="top" wrapText="1"/>
    </xf>
    <xf numFmtId="0" fontId="8" fillId="6" borderId="22" xfId="0" applyFont="1" applyFill="1" applyBorder="1"/>
    <xf numFmtId="0" fontId="8" fillId="6" borderId="20" xfId="0" applyFont="1" applyFill="1" applyBorder="1" applyAlignment="1">
      <alignment horizontal="center" vertical="center"/>
    </xf>
    <xf numFmtId="0" fontId="8" fillId="6" borderId="2" xfId="0" applyFont="1" applyFill="1" applyBorder="1"/>
    <xf numFmtId="0" fontId="8" fillId="6" borderId="2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0" borderId="12" xfId="0" applyFont="1" applyBorder="1" applyAlignment="1">
      <alignment wrapText="1"/>
    </xf>
    <xf numFmtId="0" fontId="8" fillId="0" borderId="23" xfId="0" applyFont="1" applyBorder="1"/>
    <xf numFmtId="0" fontId="8" fillId="6" borderId="23" xfId="0" applyFont="1" applyFill="1" applyBorder="1"/>
    <xf numFmtId="0" fontId="8" fillId="0" borderId="24" xfId="0" applyFont="1" applyBorder="1"/>
    <xf numFmtId="49" fontId="11" fillId="13" borderId="1" xfId="1" applyNumberFormat="1" applyFont="1" applyFill="1" applyBorder="1" applyAlignment="1">
      <alignment horizontal="center" vertical="center"/>
    </xf>
    <xf numFmtId="0" fontId="11" fillId="13" borderId="1" xfId="1" applyFont="1" applyFill="1" applyBorder="1" applyAlignment="1">
      <alignment horizontal="center" vertical="center"/>
    </xf>
    <xf numFmtId="0" fontId="12" fillId="13" borderId="1" xfId="1" applyFont="1" applyFill="1" applyBorder="1" applyAlignment="1">
      <alignment horizontal="center" vertical="center" wrapText="1"/>
    </xf>
    <xf numFmtId="0" fontId="12" fillId="10" borderId="1" xfId="1" applyFont="1" applyFill="1" applyBorder="1" applyAlignment="1">
      <alignment horizontal="center" vertical="center" wrapText="1"/>
    </xf>
    <xf numFmtId="0" fontId="12" fillId="13" borderId="1" xfId="1" applyFont="1" applyFill="1" applyBorder="1" applyAlignment="1">
      <alignment horizontal="center" vertical="center"/>
    </xf>
    <xf numFmtId="0" fontId="12" fillId="14" borderId="1" xfId="1" applyFont="1" applyFill="1" applyBorder="1" applyAlignment="1">
      <alignment horizontal="center" vertical="center" wrapText="1"/>
    </xf>
    <xf numFmtId="49" fontId="4" fillId="15" borderId="1" xfId="2" applyNumberFormat="1" applyFont="1" applyFill="1" applyBorder="1" applyAlignment="1">
      <alignment horizontal="right"/>
    </xf>
    <xf numFmtId="0" fontId="13" fillId="0" borderId="1" xfId="2" applyFont="1" applyBorder="1"/>
    <xf numFmtId="0" fontId="8" fillId="0" borderId="1" xfId="0" applyFont="1" applyBorder="1" applyAlignment="1">
      <alignment horizontal="center"/>
    </xf>
    <xf numFmtId="0" fontId="14" fillId="0" borderId="39" xfId="0" applyFont="1" applyBorder="1"/>
    <xf numFmtId="1" fontId="14" fillId="0" borderId="39" xfId="0" applyNumberFormat="1" applyFont="1" applyBorder="1" applyAlignment="1">
      <alignment horizontal="right"/>
    </xf>
    <xf numFmtId="2" fontId="14" fillId="0" borderId="1" xfId="0" applyNumberFormat="1" applyFont="1" applyBorder="1"/>
    <xf numFmtId="0" fontId="14" fillId="0" borderId="1" xfId="0" applyFont="1" applyBorder="1"/>
    <xf numFmtId="49" fontId="4" fillId="16" borderId="1" xfId="2" applyNumberFormat="1" applyFont="1" applyFill="1" applyBorder="1" applyAlignment="1">
      <alignment horizontal="right"/>
    </xf>
    <xf numFmtId="0" fontId="14" fillId="17" borderId="1" xfId="0" applyFont="1" applyFill="1" applyBorder="1"/>
    <xf numFmtId="49" fontId="4" fillId="18" borderId="1" xfId="2" applyNumberFormat="1" applyFont="1" applyFill="1" applyBorder="1" applyAlignment="1">
      <alignment horizontal="right"/>
    </xf>
    <xf numFmtId="0" fontId="14" fillId="0" borderId="39" xfId="0" applyFont="1" applyBorder="1" applyAlignment="1">
      <alignment horizontal="right"/>
    </xf>
    <xf numFmtId="49" fontId="4" fillId="2" borderId="1" xfId="2" applyNumberFormat="1" applyFont="1" applyFill="1" applyBorder="1" applyAlignment="1">
      <alignment horizontal="right"/>
    </xf>
    <xf numFmtId="49" fontId="4" fillId="19" borderId="1" xfId="2" applyNumberFormat="1" applyFont="1" applyFill="1" applyBorder="1" applyAlignment="1">
      <alignment horizontal="right"/>
    </xf>
    <xf numFmtId="49" fontId="4" fillId="20" borderId="1" xfId="2" applyNumberFormat="1" applyFont="1" applyFill="1" applyBorder="1" applyAlignment="1">
      <alignment horizontal="right"/>
    </xf>
    <xf numFmtId="49" fontId="4" fillId="21" borderId="1" xfId="2" applyNumberFormat="1" applyFont="1" applyFill="1" applyBorder="1" applyAlignment="1">
      <alignment horizontal="right"/>
    </xf>
    <xf numFmtId="49" fontId="4" fillId="22" borderId="1" xfId="2" applyNumberFormat="1" applyFont="1" applyFill="1" applyBorder="1" applyAlignment="1">
      <alignment horizontal="right"/>
    </xf>
    <xf numFmtId="0" fontId="13" fillId="23" borderId="1" xfId="2" applyFont="1" applyFill="1" applyBorder="1"/>
    <xf numFmtId="0" fontId="15" fillId="0" borderId="1" xfId="0" applyFont="1" applyBorder="1" applyAlignment="1">
      <alignment horizontal="center"/>
    </xf>
    <xf numFmtId="0" fontId="16" fillId="0" borderId="39" xfId="0" applyFont="1" applyBorder="1"/>
    <xf numFmtId="1" fontId="16" fillId="0" borderId="39" xfId="0" applyNumberFormat="1" applyFont="1" applyBorder="1" applyAlignment="1">
      <alignment horizontal="right"/>
    </xf>
    <xf numFmtId="0" fontId="16" fillId="0" borderId="1" xfId="0" applyFont="1" applyBorder="1"/>
    <xf numFmtId="0" fontId="8" fillId="0" borderId="0" xfId="0" applyFont="1"/>
    <xf numFmtId="1" fontId="14" fillId="0" borderId="1" xfId="0" applyNumberFormat="1" applyFont="1" applyBorder="1" applyAlignment="1">
      <alignment horizontal="right"/>
    </xf>
    <xf numFmtId="0" fontId="11" fillId="13" borderId="39" xfId="1" applyFont="1" applyFill="1" applyBorder="1" applyAlignment="1">
      <alignment horizontal="center" vertical="center" wrapText="1"/>
    </xf>
    <xf numFmtId="0" fontId="11" fillId="13" borderId="1" xfId="1" applyFont="1" applyFill="1" applyBorder="1" applyAlignment="1">
      <alignment horizontal="center" vertical="center" wrapText="1"/>
    </xf>
    <xf numFmtId="2" fontId="13" fillId="0" borderId="39" xfId="2" applyNumberFormat="1" applyFont="1" applyBorder="1" applyAlignment="1">
      <alignment wrapText="1"/>
    </xf>
    <xf numFmtId="49" fontId="11" fillId="0" borderId="0" xfId="1" applyNumberFormat="1" applyFont="1" applyFill="1" applyBorder="1" applyAlignment="1">
      <alignment vertical="center" wrapText="1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5" fillId="0" borderId="1" xfId="0" applyFont="1" applyBorder="1"/>
    <xf numFmtId="0" fontId="15" fillId="0" borderId="0" xfId="0" applyFont="1"/>
    <xf numFmtId="0" fontId="1" fillId="0" borderId="0" xfId="0" applyFont="1" applyAlignment="1">
      <alignment horizontal="center" vertical="center"/>
    </xf>
    <xf numFmtId="0" fontId="2" fillId="8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vertical="center"/>
    </xf>
    <xf numFmtId="2" fontId="2" fillId="8" borderId="0" xfId="0" applyNumberFormat="1" applyFont="1" applyFill="1" applyAlignment="1">
      <alignment horizontal="center" vertical="center"/>
    </xf>
    <xf numFmtId="2" fontId="3" fillId="24" borderId="0" xfId="0" applyNumberFormat="1" applyFont="1" applyFill="1" applyAlignment="1">
      <alignment horizontal="center" vertical="center" wrapText="1"/>
    </xf>
    <xf numFmtId="1" fontId="3" fillId="24" borderId="0" xfId="0" applyNumberFormat="1" applyFont="1" applyFill="1" applyAlignment="1">
      <alignment horizontal="center" vertical="center"/>
    </xf>
    <xf numFmtId="0" fontId="8" fillId="0" borderId="10" xfId="0" applyFont="1" applyBorder="1"/>
    <xf numFmtId="0" fontId="14" fillId="0" borderId="11" xfId="0" applyFont="1" applyBorder="1"/>
    <xf numFmtId="0" fontId="8" fillId="0" borderId="35" xfId="0" applyFont="1" applyBorder="1"/>
    <xf numFmtId="0" fontId="8" fillId="0" borderId="36" xfId="0" applyFont="1" applyBorder="1" applyAlignment="1">
      <alignment horizontal="center"/>
    </xf>
    <xf numFmtId="0" fontId="14" fillId="0" borderId="36" xfId="0" applyFont="1" applyBorder="1"/>
    <xf numFmtId="1" fontId="14" fillId="0" borderId="36" xfId="0" applyNumberFormat="1" applyFont="1" applyBorder="1" applyAlignment="1">
      <alignment horizontal="right"/>
    </xf>
    <xf numFmtId="0" fontId="14" fillId="0" borderId="37" xfId="0" applyFont="1" applyBorder="1"/>
    <xf numFmtId="0" fontId="8" fillId="0" borderId="19" xfId="0" applyFont="1" applyBorder="1"/>
    <xf numFmtId="0" fontId="8" fillId="0" borderId="3" xfId="0" applyFont="1" applyBorder="1" applyAlignment="1">
      <alignment horizontal="center"/>
    </xf>
    <xf numFmtId="0" fontId="14" fillId="0" borderId="3" xfId="0" applyFont="1" applyBorder="1"/>
    <xf numFmtId="1" fontId="14" fillId="0" borderId="3" xfId="0" applyNumberFormat="1" applyFont="1" applyBorder="1" applyAlignment="1">
      <alignment horizontal="right"/>
    </xf>
    <xf numFmtId="0" fontId="14" fillId="0" borderId="20" xfId="0" applyFont="1" applyBorder="1"/>
    <xf numFmtId="0" fontId="8" fillId="3" borderId="5" xfId="0" applyFont="1" applyFill="1" applyBorder="1" applyAlignment="1">
      <alignment horizontal="center"/>
    </xf>
    <xf numFmtId="0" fontId="8" fillId="0" borderId="21" xfId="0" applyFont="1" applyBorder="1"/>
    <xf numFmtId="2" fontId="8" fillId="0" borderId="3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14" fillId="0" borderId="11" xfId="0" applyFont="1" applyFill="1" applyBorder="1"/>
    <xf numFmtId="0" fontId="8" fillId="0" borderId="0" xfId="0" applyFont="1" applyFill="1" applyBorder="1" applyAlignment="1">
      <alignment wrapText="1"/>
    </xf>
    <xf numFmtId="0" fontId="14" fillId="0" borderId="0" xfId="0" applyFont="1" applyFill="1" applyBorder="1"/>
    <xf numFmtId="2" fontId="1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2" fontId="8" fillId="0" borderId="0" xfId="0" applyNumberFormat="1" applyFont="1" applyFill="1" applyBorder="1" applyAlignment="1">
      <alignment horizontal="center"/>
    </xf>
    <xf numFmtId="1" fontId="14" fillId="0" borderId="0" xfId="0" applyNumberFormat="1" applyFont="1" applyFill="1" applyBorder="1" applyAlignment="1">
      <alignment horizontal="right"/>
    </xf>
    <xf numFmtId="0" fontId="8" fillId="14" borderId="6" xfId="0" applyFont="1" applyFill="1" applyBorder="1" applyAlignment="1">
      <alignment wrapText="1"/>
    </xf>
    <xf numFmtId="0" fontId="8" fillId="14" borderId="7" xfId="0" applyFont="1" applyFill="1" applyBorder="1" applyAlignment="1">
      <alignment wrapText="1"/>
    </xf>
    <xf numFmtId="0" fontId="8" fillId="14" borderId="8" xfId="0" applyFont="1" applyFill="1" applyBorder="1" applyAlignment="1">
      <alignment wrapText="1"/>
    </xf>
    <xf numFmtId="0" fontId="1" fillId="14" borderId="6" xfId="0" applyFont="1" applyFill="1" applyBorder="1" applyAlignment="1">
      <alignment wrapText="1"/>
    </xf>
    <xf numFmtId="0" fontId="1" fillId="14" borderId="7" xfId="0" applyFont="1" applyFill="1" applyBorder="1" applyAlignment="1">
      <alignment wrapText="1"/>
    </xf>
    <xf numFmtId="0" fontId="1" fillId="14" borderId="8" xfId="0" applyFont="1" applyFill="1" applyBorder="1" applyAlignment="1">
      <alignment wrapText="1"/>
    </xf>
    <xf numFmtId="2" fontId="8" fillId="0" borderId="31" xfId="0" applyNumberFormat="1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14" fillId="0" borderId="31" xfId="0" applyFont="1" applyBorder="1"/>
    <xf numFmtId="1" fontId="14" fillId="0" borderId="31" xfId="0" applyNumberFormat="1" applyFont="1" applyBorder="1" applyAlignment="1">
      <alignment horizontal="right"/>
    </xf>
    <xf numFmtId="0" fontId="14" fillId="0" borderId="32" xfId="0" applyFont="1" applyBorder="1"/>
    <xf numFmtId="0" fontId="7" fillId="14" borderId="16" xfId="0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4" fillId="8" borderId="17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 wrapText="1"/>
    </xf>
    <xf numFmtId="164" fontId="14" fillId="0" borderId="3" xfId="0" applyNumberFormat="1" applyFont="1" applyBorder="1"/>
    <xf numFmtId="0" fontId="15" fillId="25" borderId="1" xfId="2" applyFont="1" applyFill="1" applyBorder="1"/>
    <xf numFmtId="0" fontId="1" fillId="24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164" fontId="14" fillId="0" borderId="31" xfId="0" applyNumberFormat="1" applyFont="1" applyBorder="1"/>
    <xf numFmtId="164" fontId="14" fillId="0" borderId="1" xfId="0" applyNumberFormat="1" applyFont="1" applyBorder="1"/>
    <xf numFmtId="0" fontId="0" fillId="0" borderId="1" xfId="0" applyBorder="1"/>
    <xf numFmtId="164" fontId="14" fillId="0" borderId="3" xfId="0" applyNumberFormat="1" applyFont="1" applyFill="1" applyBorder="1"/>
    <xf numFmtId="164" fontId="0" fillId="0" borderId="1" xfId="0" applyNumberFormat="1" applyFill="1" applyBorder="1"/>
    <xf numFmtId="0" fontId="14" fillId="0" borderId="29" xfId="0" applyFont="1" applyBorder="1"/>
    <xf numFmtId="0" fontId="14" fillId="0" borderId="25" xfId="0" applyFont="1" applyBorder="1"/>
    <xf numFmtId="0" fontId="14" fillId="0" borderId="25" xfId="0" applyFont="1" applyFill="1" applyBorder="1"/>
    <xf numFmtId="0" fontId="14" fillId="0" borderId="47" xfId="0" applyFont="1" applyBorder="1"/>
    <xf numFmtId="0" fontId="4" fillId="8" borderId="6" xfId="0" applyFont="1" applyFill="1" applyBorder="1" applyAlignment="1">
      <alignment horizontal="center" vertical="center" wrapText="1"/>
    </xf>
    <xf numFmtId="0" fontId="0" fillId="0" borderId="0" xfId="0" applyBorder="1"/>
    <xf numFmtId="164" fontId="14" fillId="0" borderId="23" xfId="0" applyNumberFormat="1" applyFont="1" applyBorder="1"/>
    <xf numFmtId="0" fontId="0" fillId="0" borderId="0" xfId="0" applyAlignment="1">
      <alignment wrapText="1"/>
    </xf>
    <xf numFmtId="0" fontId="8" fillId="0" borderId="0" xfId="0" applyFont="1" applyFill="1" applyBorder="1" applyAlignment="1">
      <alignment vertical="center"/>
    </xf>
    <xf numFmtId="0" fontId="0" fillId="0" borderId="7" xfId="0" applyBorder="1"/>
    <xf numFmtId="0" fontId="0" fillId="0" borderId="8" xfId="0" applyBorder="1"/>
    <xf numFmtId="0" fontId="0" fillId="0" borderId="0" xfId="0" applyBorder="1" applyAlignment="1">
      <alignment wrapText="1"/>
    </xf>
    <xf numFmtId="164" fontId="8" fillId="0" borderId="0" xfId="0" applyNumberFormat="1" applyFont="1" applyBorder="1" applyAlignment="1">
      <alignment vertical="center" wrapText="1"/>
    </xf>
    <xf numFmtId="0" fontId="14" fillId="0" borderId="45" xfId="0" applyFont="1" applyBorder="1"/>
    <xf numFmtId="164" fontId="0" fillId="0" borderId="0" xfId="0" applyNumberFormat="1" applyBorder="1"/>
    <xf numFmtId="0" fontId="0" fillId="0" borderId="0" xfId="0" applyFill="1" applyBorder="1"/>
    <xf numFmtId="164" fontId="0" fillId="0" borderId="0" xfId="0" applyNumberFormat="1" applyFill="1" applyBorder="1"/>
    <xf numFmtId="164" fontId="14" fillId="0" borderId="0" xfId="0" applyNumberFormat="1" applyFont="1" applyFill="1" applyBorder="1"/>
    <xf numFmtId="164" fontId="8" fillId="0" borderId="0" xfId="0" applyNumberFormat="1" applyFont="1" applyFill="1" applyBorder="1" applyAlignment="1">
      <alignment vertical="center" wrapText="1"/>
    </xf>
    <xf numFmtId="0" fontId="0" fillId="0" borderId="46" xfId="0" applyBorder="1"/>
    <xf numFmtId="0" fontId="0" fillId="0" borderId="56" xfId="0" applyBorder="1"/>
    <xf numFmtId="0" fontId="8" fillId="5" borderId="12" xfId="0" applyFont="1" applyFill="1" applyBorder="1" applyAlignment="1">
      <alignment horizontal="center"/>
    </xf>
    <xf numFmtId="164" fontId="14" fillId="0" borderId="20" xfId="0" applyNumberFormat="1" applyFont="1" applyBorder="1"/>
    <xf numFmtId="164" fontId="0" fillId="0" borderId="14" xfId="0" applyNumberFormat="1" applyBorder="1"/>
    <xf numFmtId="164" fontId="14" fillId="0" borderId="24" xfId="0" applyNumberFormat="1" applyFont="1" applyBorder="1"/>
    <xf numFmtId="0" fontId="8" fillId="25" borderId="5" xfId="0" applyFont="1" applyFill="1" applyBorder="1" applyAlignment="1">
      <alignment horizontal="center"/>
    </xf>
    <xf numFmtId="0" fontId="8" fillId="25" borderId="4" xfId="0" applyFont="1" applyFill="1" applyBorder="1" applyAlignment="1">
      <alignment horizontal="center"/>
    </xf>
    <xf numFmtId="0" fontId="8" fillId="26" borderId="53" xfId="0" applyFont="1" applyFill="1" applyBorder="1" applyAlignment="1">
      <alignment horizontal="center" vertical="center"/>
    </xf>
    <xf numFmtId="0" fontId="8" fillId="26" borderId="4" xfId="0" applyFont="1" applyFill="1" applyBorder="1" applyAlignment="1">
      <alignment horizontal="center" vertical="center"/>
    </xf>
    <xf numFmtId="0" fontId="8" fillId="0" borderId="46" xfId="0" applyFont="1" applyBorder="1" applyAlignment="1">
      <alignment vertical="center"/>
    </xf>
    <xf numFmtId="0" fontId="8" fillId="0" borderId="46" xfId="0" applyFont="1" applyFill="1" applyBorder="1" applyAlignment="1">
      <alignment vertical="center"/>
    </xf>
    <xf numFmtId="0" fontId="8" fillId="0" borderId="46" xfId="0" applyFont="1" applyBorder="1"/>
    <xf numFmtId="0" fontId="0" fillId="0" borderId="18" xfId="0" applyBorder="1"/>
    <xf numFmtId="164" fontId="1" fillId="0" borderId="50" xfId="0" applyNumberFormat="1" applyFont="1" applyBorder="1"/>
    <xf numFmtId="0" fontId="1" fillId="0" borderId="57" xfId="0" applyFont="1" applyBorder="1" applyAlignment="1">
      <alignment wrapText="1"/>
    </xf>
    <xf numFmtId="164" fontId="1" fillId="0" borderId="57" xfId="0" applyNumberFormat="1" applyFont="1" applyBorder="1"/>
    <xf numFmtId="164" fontId="1" fillId="0" borderId="54" xfId="0" applyNumberFormat="1" applyFont="1" applyBorder="1"/>
    <xf numFmtId="164" fontId="1" fillId="0" borderId="15" xfId="0" applyNumberFormat="1" applyFont="1" applyBorder="1"/>
    <xf numFmtId="0" fontId="1" fillId="0" borderId="55" xfId="0" applyFont="1" applyBorder="1" applyAlignment="1">
      <alignment wrapText="1"/>
    </xf>
    <xf numFmtId="164" fontId="1" fillId="0" borderId="55" xfId="0" applyNumberFormat="1" applyFont="1" applyBorder="1"/>
    <xf numFmtId="0" fontId="1" fillId="26" borderId="4" xfId="0" applyFont="1" applyFill="1" applyBorder="1" applyAlignment="1">
      <alignment horizontal="center"/>
    </xf>
    <xf numFmtId="0" fontId="1" fillId="26" borderId="54" xfId="0" applyFont="1" applyFill="1" applyBorder="1" applyAlignment="1">
      <alignment horizontal="center"/>
    </xf>
    <xf numFmtId="0" fontId="1" fillId="0" borderId="0" xfId="0" applyFont="1" applyBorder="1" applyAlignment="1">
      <alignment wrapText="1"/>
    </xf>
    <xf numFmtId="164" fontId="1" fillId="0" borderId="18" xfId="0" applyNumberFormat="1" applyFont="1" applyBorder="1"/>
    <xf numFmtId="164" fontId="1" fillId="0" borderId="4" xfId="0" applyNumberFormat="1" applyFont="1" applyBorder="1"/>
    <xf numFmtId="165" fontId="0" fillId="0" borderId="0" xfId="0" applyNumberFormat="1"/>
    <xf numFmtId="0" fontId="8" fillId="27" borderId="5" xfId="0" applyFont="1" applyFill="1" applyBorder="1" applyAlignment="1">
      <alignment horizontal="center"/>
    </xf>
    <xf numFmtId="0" fontId="8" fillId="27" borderId="4" xfId="0" applyFont="1" applyFill="1" applyBorder="1" applyAlignment="1">
      <alignment horizontal="center"/>
    </xf>
    <xf numFmtId="0" fontId="1" fillId="27" borderId="50" xfId="0" applyFont="1" applyFill="1" applyBorder="1" applyAlignment="1">
      <alignment wrapText="1"/>
    </xf>
    <xf numFmtId="164" fontId="1" fillId="27" borderId="50" xfId="0" applyNumberFormat="1" applyFont="1" applyFill="1" applyBorder="1"/>
    <xf numFmtId="164" fontId="1" fillId="27" borderId="56" xfId="0" applyNumberFormat="1" applyFont="1" applyFill="1" applyBorder="1"/>
    <xf numFmtId="0" fontId="1" fillId="27" borderId="49" xfId="0" applyFont="1" applyFill="1" applyBorder="1" applyAlignment="1">
      <alignment wrapText="1"/>
    </xf>
    <xf numFmtId="164" fontId="1" fillId="27" borderId="49" xfId="0" applyNumberFormat="1" applyFont="1" applyFill="1" applyBorder="1"/>
    <xf numFmtId="164" fontId="1" fillId="27" borderId="15" xfId="0" applyNumberFormat="1" applyFont="1" applyFill="1" applyBorder="1"/>
    <xf numFmtId="0" fontId="8" fillId="27" borderId="53" xfId="0" applyFont="1" applyFill="1" applyBorder="1" applyAlignment="1">
      <alignment horizontal="center" vertical="center"/>
    </xf>
    <xf numFmtId="0" fontId="8" fillId="27" borderId="4" xfId="0" applyFont="1" applyFill="1" applyBorder="1" applyAlignment="1">
      <alignment horizontal="center" vertical="center"/>
    </xf>
    <xf numFmtId="0" fontId="1" fillId="27" borderId="4" xfId="0" applyFont="1" applyFill="1" applyBorder="1" applyAlignment="1">
      <alignment horizontal="center"/>
    </xf>
    <xf numFmtId="0" fontId="1" fillId="27" borderId="54" xfId="0" applyFont="1" applyFill="1" applyBorder="1" applyAlignment="1">
      <alignment horizontal="center"/>
    </xf>
    <xf numFmtId="0" fontId="1" fillId="27" borderId="57" xfId="0" applyFont="1" applyFill="1" applyBorder="1" applyAlignment="1">
      <alignment wrapText="1"/>
    </xf>
    <xf numFmtId="164" fontId="8" fillId="27" borderId="53" xfId="0" applyNumberFormat="1" applyFont="1" applyFill="1" applyBorder="1" applyAlignment="1">
      <alignment vertical="center" wrapText="1"/>
    </xf>
    <xf numFmtId="164" fontId="8" fillId="27" borderId="50" xfId="0" applyNumberFormat="1" applyFont="1" applyFill="1" applyBorder="1" applyAlignment="1">
      <alignment vertical="center" wrapText="1"/>
    </xf>
    <xf numFmtId="0" fontId="1" fillId="27" borderId="55" xfId="0" applyFont="1" applyFill="1" applyBorder="1" applyAlignment="1">
      <alignment wrapText="1"/>
    </xf>
    <xf numFmtId="164" fontId="8" fillId="27" borderId="5" xfId="0" applyNumberFormat="1" applyFont="1" applyFill="1" applyBorder="1" applyAlignment="1">
      <alignment vertical="center" wrapText="1"/>
    </xf>
    <xf numFmtId="164" fontId="8" fillId="27" borderId="4" xfId="0" applyNumberFormat="1" applyFont="1" applyFill="1" applyBorder="1" applyAlignment="1">
      <alignment vertical="center" wrapText="1"/>
    </xf>
    <xf numFmtId="164" fontId="1" fillId="27" borderId="57" xfId="0" applyNumberFormat="1" applyFont="1" applyFill="1" applyBorder="1"/>
    <xf numFmtId="164" fontId="1" fillId="0" borderId="0" xfId="0" applyNumberFormat="1" applyFont="1" applyBorder="1"/>
    <xf numFmtId="0" fontId="1" fillId="0" borderId="0" xfId="0" applyFont="1" applyBorder="1"/>
    <xf numFmtId="0" fontId="1" fillId="0" borderId="56" xfId="0" applyFont="1" applyBorder="1"/>
    <xf numFmtId="0" fontId="1" fillId="0" borderId="7" xfId="0" applyFont="1" applyBorder="1"/>
    <xf numFmtId="0" fontId="1" fillId="0" borderId="8" xfId="0" applyFont="1" applyBorder="1"/>
    <xf numFmtId="0" fontId="8" fillId="3" borderId="4" xfId="0" applyFont="1" applyFill="1" applyBorder="1" applyAlignment="1">
      <alignment horizontal="center"/>
    </xf>
    <xf numFmtId="0" fontId="1" fillId="0" borderId="51" xfId="0" applyFont="1" applyBorder="1"/>
    <xf numFmtId="0" fontId="8" fillId="5" borderId="4" xfId="0" applyFont="1" applyFill="1" applyBorder="1" applyAlignment="1">
      <alignment horizontal="center"/>
    </xf>
    <xf numFmtId="0" fontId="1" fillId="0" borderId="49" xfId="0" applyFont="1" applyBorder="1"/>
    <xf numFmtId="0" fontId="1" fillId="0" borderId="0" xfId="0" applyFont="1" applyFill="1"/>
    <xf numFmtId="2" fontId="0" fillId="0" borderId="0" xfId="0" applyNumberFormat="1"/>
    <xf numFmtId="164" fontId="1" fillId="0" borderId="56" xfId="0" applyNumberFormat="1" applyFont="1" applyBorder="1"/>
    <xf numFmtId="164" fontId="1" fillId="0" borderId="14" xfId="0" applyNumberFormat="1" applyFont="1" applyBorder="1"/>
    <xf numFmtId="0" fontId="18" fillId="8" borderId="9" xfId="0" applyFont="1" applyFill="1" applyBorder="1"/>
    <xf numFmtId="0" fontId="19" fillId="8" borderId="33" xfId="0" applyFont="1" applyFill="1" applyBorder="1" applyAlignment="1">
      <alignment horizontal="center"/>
    </xf>
    <xf numFmtId="0" fontId="19" fillId="8" borderId="34" xfId="0" applyFont="1" applyFill="1" applyBorder="1" applyAlignment="1">
      <alignment horizontal="center"/>
    </xf>
    <xf numFmtId="0" fontId="19" fillId="8" borderId="9" xfId="0" applyFont="1" applyFill="1" applyBorder="1" applyAlignment="1">
      <alignment horizontal="center"/>
    </xf>
    <xf numFmtId="0" fontId="20" fillId="0" borderId="0" xfId="0" applyFont="1"/>
    <xf numFmtId="0" fontId="18" fillId="8" borderId="19" xfId="0" applyFont="1" applyFill="1" applyBorder="1"/>
    <xf numFmtId="0" fontId="19" fillId="8" borderId="3" xfId="0" applyFont="1" applyFill="1" applyBorder="1" applyAlignment="1">
      <alignment horizontal="center"/>
    </xf>
    <xf numFmtId="0" fontId="19" fillId="8" borderId="20" xfId="0" applyFont="1" applyFill="1" applyBorder="1" applyAlignment="1">
      <alignment horizontal="center"/>
    </xf>
    <xf numFmtId="0" fontId="19" fillId="8" borderId="19" xfId="0" applyFont="1" applyFill="1" applyBorder="1" applyAlignment="1">
      <alignment horizontal="center"/>
    </xf>
    <xf numFmtId="0" fontId="19" fillId="8" borderId="55" xfId="0" applyFont="1" applyFill="1" applyBorder="1" applyAlignment="1">
      <alignment horizontal="center" vertical="center"/>
    </xf>
    <xf numFmtId="0" fontId="19" fillId="8" borderId="14" xfId="0" applyFont="1" applyFill="1" applyBorder="1" applyAlignment="1">
      <alignment horizontal="center" vertical="center"/>
    </xf>
    <xf numFmtId="0" fontId="19" fillId="8" borderId="28" xfId="0" applyFont="1" applyFill="1" applyBorder="1" applyAlignment="1">
      <alignment horizontal="center"/>
    </xf>
    <xf numFmtId="0" fontId="19" fillId="8" borderId="31" xfId="0" applyFont="1" applyFill="1" applyBorder="1" applyAlignment="1">
      <alignment horizontal="center"/>
    </xf>
    <xf numFmtId="0" fontId="19" fillId="8" borderId="32" xfId="0" applyFont="1" applyFill="1" applyBorder="1" applyAlignment="1">
      <alignment horizontal="center"/>
    </xf>
    <xf numFmtId="0" fontId="20" fillId="3" borderId="5" xfId="0" applyFont="1" applyFill="1" applyBorder="1" applyAlignment="1">
      <alignment horizontal="left"/>
    </xf>
    <xf numFmtId="0" fontId="20" fillId="3" borderId="8" xfId="0" applyFont="1" applyFill="1" applyBorder="1" applyAlignment="1">
      <alignment horizontal="left"/>
    </xf>
    <xf numFmtId="0" fontId="20" fillId="0" borderId="19" xfId="0" applyFont="1" applyBorder="1" applyAlignment="1">
      <alignment wrapText="1"/>
    </xf>
    <xf numFmtId="0" fontId="20" fillId="0" borderId="3" xfId="0" applyFont="1" applyBorder="1"/>
    <xf numFmtId="0" fontId="20" fillId="0" borderId="20" xfId="0" applyFont="1" applyBorder="1"/>
    <xf numFmtId="0" fontId="20" fillId="7" borderId="4" xfId="0" applyFont="1" applyFill="1" applyBorder="1"/>
    <xf numFmtId="0" fontId="20" fillId="0" borderId="42" xfId="0" applyFont="1" applyBorder="1"/>
    <xf numFmtId="1" fontId="22" fillId="0" borderId="4" xfId="0" applyNumberFormat="1" applyFont="1" applyBorder="1" applyAlignment="1">
      <alignment horizontal="center" vertical="center"/>
    </xf>
    <xf numFmtId="164" fontId="22" fillId="0" borderId="8" xfId="0" applyNumberFormat="1" applyFont="1" applyBorder="1" applyAlignment="1">
      <alignment horizontal="center" vertical="center"/>
    </xf>
    <xf numFmtId="0" fontId="20" fillId="0" borderId="19" xfId="0" applyFont="1" applyBorder="1"/>
    <xf numFmtId="0" fontId="20" fillId="0" borderId="29" xfId="0" applyFont="1" applyBorder="1"/>
    <xf numFmtId="0" fontId="20" fillId="0" borderId="28" xfId="0" applyFont="1" applyBorder="1"/>
    <xf numFmtId="0" fontId="20" fillId="0" borderId="10" xfId="0" applyFont="1" applyBorder="1" applyAlignment="1">
      <alignment vertical="top" wrapText="1"/>
    </xf>
    <xf numFmtId="0" fontId="20" fillId="0" borderId="1" xfId="0" applyFont="1" applyBorder="1" applyAlignment="1"/>
    <xf numFmtId="0" fontId="20" fillId="0" borderId="11" xfId="0" applyFont="1" applyBorder="1" applyAlignment="1"/>
    <xf numFmtId="0" fontId="20" fillId="0" borderId="46" xfId="0" applyFont="1" applyBorder="1" applyAlignment="1"/>
    <xf numFmtId="0" fontId="20" fillId="7" borderId="4" xfId="0" applyFont="1" applyFill="1" applyBorder="1" applyAlignment="1"/>
    <xf numFmtId="0" fontId="20" fillId="0" borderId="39" xfId="0" applyFont="1" applyBorder="1" applyAlignment="1"/>
    <xf numFmtId="0" fontId="20" fillId="0" borderId="0" xfId="0" applyFont="1" applyAlignment="1"/>
    <xf numFmtId="0" fontId="19" fillId="0" borderId="0" xfId="0" applyFont="1" applyFill="1" applyBorder="1" applyAlignment="1">
      <alignment horizontal="center" vertical="center"/>
    </xf>
    <xf numFmtId="0" fontId="20" fillId="0" borderId="10" xfId="0" applyFont="1" applyBorder="1" applyAlignment="1"/>
    <xf numFmtId="0" fontId="20" fillId="12" borderId="21" xfId="0" applyFont="1" applyFill="1" applyBorder="1" applyAlignment="1">
      <alignment vertical="top" wrapText="1"/>
    </xf>
    <xf numFmtId="0" fontId="20" fillId="0" borderId="2" xfId="0" applyFont="1" applyBorder="1" applyAlignment="1"/>
    <xf numFmtId="0" fontId="20" fillId="0" borderId="22" xfId="0" applyFont="1" applyBorder="1" applyAlignment="1"/>
    <xf numFmtId="0" fontId="20" fillId="11" borderId="4" xfId="0" applyFont="1" applyFill="1" applyBorder="1" applyAlignment="1">
      <alignment horizontal="center" vertical="center"/>
    </xf>
    <xf numFmtId="0" fontId="20" fillId="0" borderId="43" xfId="0" applyFont="1" applyBorder="1" applyAlignment="1"/>
    <xf numFmtId="0" fontId="20" fillId="0" borderId="21" xfId="0" applyFont="1" applyBorder="1" applyAlignment="1"/>
    <xf numFmtId="0" fontId="20" fillId="0" borderId="44" xfId="0" applyFont="1" applyBorder="1" applyAlignment="1"/>
    <xf numFmtId="164" fontId="20" fillId="11" borderId="50" xfId="0" applyNumberFormat="1" applyFont="1" applyFill="1" applyBorder="1" applyAlignment="1">
      <alignment horizontal="center" vertical="center"/>
    </xf>
    <xf numFmtId="0" fontId="20" fillId="0" borderId="41" xfId="0" applyFont="1" applyBorder="1"/>
    <xf numFmtId="0" fontId="22" fillId="0" borderId="4" xfId="0" applyFont="1" applyBorder="1" applyAlignment="1">
      <alignment horizontal="center" vertical="center"/>
    </xf>
    <xf numFmtId="0" fontId="20" fillId="12" borderId="21" xfId="0" applyFont="1" applyFill="1" applyBorder="1" applyAlignment="1">
      <alignment wrapText="1"/>
    </xf>
    <xf numFmtId="0" fontId="20" fillId="0" borderId="2" xfId="0" applyFont="1" applyBorder="1"/>
    <xf numFmtId="0" fontId="20" fillId="0" borderId="22" xfId="0" applyFont="1" applyBorder="1"/>
    <xf numFmtId="0" fontId="20" fillId="0" borderId="43" xfId="0" applyFont="1" applyBorder="1"/>
    <xf numFmtId="0" fontId="20" fillId="0" borderId="21" xfId="0" applyFont="1" applyBorder="1"/>
    <xf numFmtId="0" fontId="20" fillId="0" borderId="44" xfId="0" applyFont="1" applyBorder="1"/>
    <xf numFmtId="0" fontId="20" fillId="3" borderId="18" xfId="0" applyFont="1" applyFill="1" applyBorder="1" applyAlignment="1">
      <alignment horizontal="left"/>
    </xf>
    <xf numFmtId="0" fontId="20" fillId="3" borderId="4" xfId="0" applyFont="1" applyFill="1" applyBorder="1" applyAlignment="1">
      <alignment horizontal="left"/>
    </xf>
    <xf numFmtId="0" fontId="20" fillId="0" borderId="42" xfId="0" applyFont="1" applyFill="1" applyBorder="1"/>
    <xf numFmtId="0" fontId="20" fillId="0" borderId="0" xfId="0" applyFont="1" applyBorder="1"/>
    <xf numFmtId="0" fontId="20" fillId="0" borderId="28" xfId="0" applyFont="1" applyFill="1" applyBorder="1"/>
    <xf numFmtId="0" fontId="20" fillId="0" borderId="21" xfId="0" applyFont="1" applyBorder="1" applyAlignment="1">
      <alignment wrapText="1"/>
    </xf>
    <xf numFmtId="0" fontId="20" fillId="0" borderId="46" xfId="0" applyFont="1" applyBorder="1"/>
    <xf numFmtId="0" fontId="20" fillId="0" borderId="32" xfId="0" applyFont="1" applyBorder="1"/>
    <xf numFmtId="0" fontId="20" fillId="7" borderId="50" xfId="0" applyFont="1" applyFill="1" applyBorder="1"/>
    <xf numFmtId="0" fontId="20" fillId="0" borderId="19" xfId="0" applyFont="1" applyFill="1" applyBorder="1" applyAlignment="1">
      <alignment wrapText="1"/>
    </xf>
    <xf numFmtId="0" fontId="20" fillId="12" borderId="35" xfId="0" applyFont="1" applyFill="1" applyBorder="1" applyAlignment="1">
      <alignment wrapText="1"/>
    </xf>
    <xf numFmtId="0" fontId="20" fillId="0" borderId="36" xfId="0" applyFont="1" applyBorder="1"/>
    <xf numFmtId="0" fontId="20" fillId="0" borderId="37" xfId="0" applyFont="1" applyBorder="1"/>
    <xf numFmtId="0" fontId="23" fillId="24" borderId="4" xfId="0" applyNumberFormat="1" applyFont="1" applyFill="1" applyBorder="1" applyAlignment="1">
      <alignment horizontal="center" vertical="center"/>
    </xf>
    <xf numFmtId="164" fontId="23" fillId="24" borderId="8" xfId="0" applyNumberFormat="1" applyFont="1" applyFill="1" applyBorder="1" applyAlignment="1">
      <alignment horizontal="center" vertical="center"/>
    </xf>
    <xf numFmtId="0" fontId="20" fillId="0" borderId="35" xfId="0" applyFont="1" applyBorder="1"/>
    <xf numFmtId="0" fontId="20" fillId="0" borderId="47" xfId="0" applyFont="1" applyBorder="1"/>
    <xf numFmtId="164" fontId="20" fillId="11" borderId="4" xfId="0" applyNumberFormat="1" applyFont="1" applyFill="1" applyBorder="1" applyAlignment="1">
      <alignment horizontal="center" vertical="center"/>
    </xf>
    <xf numFmtId="0" fontId="19" fillId="8" borderId="52" xfId="0" applyFont="1" applyFill="1" applyBorder="1" applyAlignment="1">
      <alignment horizontal="center"/>
    </xf>
    <xf numFmtId="0" fontId="19" fillId="8" borderId="60" xfId="0" applyFont="1" applyFill="1" applyBorder="1" applyAlignment="1">
      <alignment horizontal="center"/>
    </xf>
    <xf numFmtId="0" fontId="19" fillId="8" borderId="61" xfId="0" applyFont="1" applyFill="1" applyBorder="1" applyAlignment="1">
      <alignment horizontal="center"/>
    </xf>
    <xf numFmtId="0" fontId="21" fillId="0" borderId="0" xfId="0" applyFont="1" applyFill="1" applyBorder="1" applyAlignment="1">
      <alignment wrapText="1"/>
    </xf>
    <xf numFmtId="0" fontId="21" fillId="4" borderId="57" xfId="0" applyFont="1" applyFill="1" applyBorder="1" applyAlignment="1">
      <alignment wrapText="1"/>
    </xf>
    <xf numFmtId="0" fontId="21" fillId="4" borderId="66" xfId="0" applyFont="1" applyFill="1" applyBorder="1" applyAlignment="1">
      <alignment wrapText="1"/>
    </xf>
    <xf numFmtId="0" fontId="21" fillId="4" borderId="54" xfId="0" applyFont="1" applyFill="1" applyBorder="1" applyAlignment="1">
      <alignment wrapText="1"/>
    </xf>
    <xf numFmtId="0" fontId="20" fillId="5" borderId="62" xfId="0" applyFont="1" applyFill="1" applyBorder="1" applyAlignment="1">
      <alignment horizontal="left"/>
    </xf>
    <xf numFmtId="0" fontId="20" fillId="5" borderId="49" xfId="0" applyFont="1" applyFill="1" applyBorder="1" applyAlignment="1">
      <alignment horizontal="left"/>
    </xf>
    <xf numFmtId="0" fontId="20" fillId="0" borderId="40" xfId="0" applyFont="1" applyBorder="1" applyAlignment="1">
      <alignment vertical="top" wrapText="1"/>
    </xf>
    <xf numFmtId="0" fontId="20" fillId="6" borderId="4" xfId="0" applyFont="1" applyFill="1" applyBorder="1"/>
    <xf numFmtId="0" fontId="20" fillId="6" borderId="8" xfId="0" applyFont="1" applyFill="1" applyBorder="1"/>
    <xf numFmtId="0" fontId="20" fillId="0" borderId="1" xfId="0" applyFont="1" applyBorder="1"/>
    <xf numFmtId="0" fontId="20" fillId="0" borderId="11" xfId="0" applyFont="1" applyBorder="1"/>
    <xf numFmtId="0" fontId="20" fillId="0" borderId="40" xfId="0" applyFont="1" applyBorder="1"/>
    <xf numFmtId="0" fontId="20" fillId="0" borderId="10" xfId="0" applyFont="1" applyBorder="1"/>
    <xf numFmtId="0" fontId="20" fillId="0" borderId="39" xfId="0" applyFont="1" applyBorder="1"/>
    <xf numFmtId="0" fontId="20" fillId="0" borderId="25" xfId="0" applyFont="1" applyBorder="1"/>
    <xf numFmtId="0" fontId="20" fillId="12" borderId="38" xfId="0" applyFont="1" applyFill="1" applyBorder="1" applyAlignment="1">
      <alignment vertical="top" wrapText="1"/>
    </xf>
    <xf numFmtId="0" fontId="20" fillId="0" borderId="20" xfId="0" applyFont="1" applyFill="1" applyBorder="1"/>
    <xf numFmtId="0" fontId="23" fillId="25" borderId="4" xfId="0" applyNumberFormat="1" applyFont="1" applyFill="1" applyBorder="1" applyAlignment="1">
      <alignment horizontal="center" vertical="center"/>
    </xf>
    <xf numFmtId="164" fontId="23" fillId="25" borderId="8" xfId="0" applyNumberFormat="1" applyFont="1" applyFill="1" applyBorder="1" applyAlignment="1">
      <alignment horizontal="center" vertical="center"/>
    </xf>
    <xf numFmtId="0" fontId="20" fillId="0" borderId="29" xfId="0" applyFont="1" applyFill="1" applyBorder="1"/>
    <xf numFmtId="0" fontId="20" fillId="11" borderId="50" xfId="0" applyFont="1" applyFill="1" applyBorder="1" applyAlignment="1">
      <alignment horizontal="center" vertical="center"/>
    </xf>
    <xf numFmtId="0" fontId="20" fillId="12" borderId="10" xfId="0" applyFont="1" applyFill="1" applyBorder="1" applyAlignment="1">
      <alignment vertical="top" wrapText="1"/>
    </xf>
    <xf numFmtId="0" fontId="20" fillId="0" borderId="11" xfId="0" applyFont="1" applyFill="1" applyBorder="1"/>
    <xf numFmtId="0" fontId="20" fillId="0" borderId="40" xfId="0" applyFont="1" applyFill="1" applyBorder="1"/>
    <xf numFmtId="164" fontId="20" fillId="11" borderId="49" xfId="0" applyNumberFormat="1" applyFont="1" applyFill="1" applyBorder="1" applyAlignment="1">
      <alignment horizontal="center" vertical="center"/>
    </xf>
    <xf numFmtId="0" fontId="20" fillId="0" borderId="1" xfId="0" applyFont="1" applyFill="1" applyBorder="1"/>
    <xf numFmtId="0" fontId="20" fillId="0" borderId="22" xfId="0" applyFont="1" applyFill="1" applyBorder="1"/>
    <xf numFmtId="0" fontId="20" fillId="0" borderId="10" xfId="0" applyFont="1" applyFill="1" applyBorder="1"/>
    <xf numFmtId="0" fontId="20" fillId="0" borderId="2" xfId="0" applyFont="1" applyFill="1" applyBorder="1"/>
    <xf numFmtId="0" fontId="20" fillId="0" borderId="31" xfId="0" applyFont="1" applyBorder="1"/>
    <xf numFmtId="0" fontId="20" fillId="0" borderId="21" xfId="0" applyFont="1" applyFill="1" applyBorder="1"/>
    <xf numFmtId="0" fontId="20" fillId="5" borderId="18" xfId="0" applyFont="1" applyFill="1" applyBorder="1" applyAlignment="1">
      <alignment horizontal="left"/>
    </xf>
    <xf numFmtId="0" fontId="20" fillId="5" borderId="4" xfId="0" applyFont="1" applyFill="1" applyBorder="1" applyAlignment="1">
      <alignment horizontal="left"/>
    </xf>
    <xf numFmtId="0" fontId="20" fillId="0" borderId="40" xfId="0" applyFont="1" applyFill="1" applyBorder="1" applyAlignment="1">
      <alignment wrapText="1"/>
    </xf>
    <xf numFmtId="0" fontId="20" fillId="6" borderId="4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wrapText="1"/>
    </xf>
    <xf numFmtId="0" fontId="20" fillId="0" borderId="45" xfId="0" applyFont="1" applyBorder="1"/>
    <xf numFmtId="0" fontId="20" fillId="12" borderId="46" xfId="0" applyFont="1" applyFill="1" applyBorder="1" applyAlignment="1">
      <alignment wrapText="1"/>
    </xf>
    <xf numFmtId="0" fontId="20" fillId="0" borderId="31" xfId="0" applyFont="1" applyFill="1" applyBorder="1" applyAlignment="1">
      <alignment horizontal="center" vertical="center"/>
    </xf>
    <xf numFmtId="0" fontId="20" fillId="12" borderId="28" xfId="0" applyFont="1" applyFill="1" applyBorder="1" applyAlignment="1">
      <alignment wrapText="1"/>
    </xf>
    <xf numFmtId="0" fontId="20" fillId="0" borderId="42" xfId="0" applyFont="1" applyFill="1" applyBorder="1" applyAlignment="1">
      <alignment horizontal="center" vertical="center"/>
    </xf>
    <xf numFmtId="0" fontId="20" fillId="0" borderId="45" xfId="0" applyFont="1" applyFill="1" applyBorder="1"/>
    <xf numFmtId="0" fontId="20" fillId="0" borderId="10" xfId="0" applyFont="1" applyFill="1" applyBorder="1" applyAlignment="1">
      <alignment wrapText="1"/>
    </xf>
    <xf numFmtId="0" fontId="20" fillId="0" borderId="43" xfId="0" applyFont="1" applyFill="1" applyBorder="1"/>
    <xf numFmtId="0" fontId="20" fillId="0" borderId="26" xfId="0" applyFont="1" applyBorder="1"/>
    <xf numFmtId="0" fontId="20" fillId="12" borderId="10" xfId="0" applyFont="1" applyFill="1" applyBorder="1" applyAlignment="1">
      <alignment wrapText="1"/>
    </xf>
    <xf numFmtId="0" fontId="20" fillId="0" borderId="3" xfId="0" applyFont="1" applyFill="1" applyBorder="1"/>
    <xf numFmtId="0" fontId="20" fillId="0" borderId="20" xfId="0" applyFont="1" applyFill="1" applyBorder="1" applyAlignment="1">
      <alignment horizontal="center" vertical="center"/>
    </xf>
    <xf numFmtId="0" fontId="20" fillId="0" borderId="38" xfId="0" applyFont="1" applyBorder="1"/>
    <xf numFmtId="0" fontId="20" fillId="0" borderId="11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 wrapText="1"/>
    </xf>
    <xf numFmtId="0" fontId="20" fillId="0" borderId="46" xfId="0" applyFont="1" applyFill="1" applyBorder="1"/>
    <xf numFmtId="0" fontId="20" fillId="0" borderId="19" xfId="0" applyFont="1" applyFill="1" applyBorder="1"/>
    <xf numFmtId="0" fontId="20" fillId="12" borderId="38" xfId="0" applyFont="1" applyFill="1" applyBorder="1" applyAlignment="1">
      <alignment wrapText="1"/>
    </xf>
    <xf numFmtId="0" fontId="20" fillId="0" borderId="25" xfId="0" applyFont="1" applyFill="1" applyBorder="1"/>
    <xf numFmtId="0" fontId="24" fillId="0" borderId="4" xfId="0" applyFont="1" applyFill="1" applyBorder="1" applyAlignment="1">
      <alignment horizontal="center" vertical="center" wrapText="1"/>
    </xf>
    <xf numFmtId="0" fontId="20" fillId="0" borderId="51" xfId="0" applyFont="1" applyBorder="1"/>
    <xf numFmtId="0" fontId="20" fillId="0" borderId="62" xfId="0" applyFont="1" applyBorder="1"/>
    <xf numFmtId="0" fontId="20" fillId="0" borderId="48" xfId="0" applyFont="1" applyBorder="1"/>
    <xf numFmtId="0" fontId="20" fillId="0" borderId="55" xfId="0" applyFont="1" applyBorder="1"/>
    <xf numFmtId="0" fontId="20" fillId="0" borderId="49" xfId="0" applyFont="1" applyBorder="1"/>
    <xf numFmtId="0" fontId="20" fillId="3" borderId="18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0" xfId="0" applyFont="1" applyBorder="1"/>
    <xf numFmtId="0" fontId="19" fillId="8" borderId="59" xfId="0" applyFont="1" applyFill="1" applyBorder="1" applyAlignment="1">
      <alignment horizontal="center"/>
    </xf>
    <xf numFmtId="0" fontId="19" fillId="8" borderId="45" xfId="0" applyFont="1" applyFill="1" applyBorder="1" applyAlignment="1">
      <alignment horizontal="center"/>
    </xf>
    <xf numFmtId="0" fontId="20" fillId="7" borderId="18" xfId="0" applyFont="1" applyFill="1" applyBorder="1"/>
    <xf numFmtId="0" fontId="20" fillId="0" borderId="45" xfId="0" applyFont="1" applyBorder="1" applyAlignment="1"/>
    <xf numFmtId="164" fontId="20" fillId="11" borderId="57" xfId="0" applyNumberFormat="1" applyFont="1" applyFill="1" applyBorder="1" applyAlignment="1">
      <alignment horizontal="center" vertical="center"/>
    </xf>
    <xf numFmtId="164" fontId="20" fillId="11" borderId="18" xfId="0" applyNumberFormat="1" applyFont="1" applyFill="1" applyBorder="1" applyAlignment="1">
      <alignment horizontal="center" vertical="center"/>
    </xf>
    <xf numFmtId="0" fontId="20" fillId="6" borderId="18" xfId="0" applyFont="1" applyFill="1" applyBorder="1"/>
    <xf numFmtId="0" fontId="20" fillId="0" borderId="64" xfId="0" applyFont="1" applyBorder="1"/>
    <xf numFmtId="0" fontId="24" fillId="0" borderId="49" xfId="0" applyFont="1" applyFill="1" applyBorder="1" applyAlignment="1">
      <alignment horizontal="center" vertical="center" wrapText="1"/>
    </xf>
    <xf numFmtId="0" fontId="20" fillId="0" borderId="65" xfId="0" applyFont="1" applyBorder="1"/>
    <xf numFmtId="0" fontId="20" fillId="0" borderId="24" xfId="0" applyFont="1" applyFill="1" applyBorder="1"/>
    <xf numFmtId="0" fontId="20" fillId="0" borderId="0" xfId="0" applyFont="1" applyFill="1" applyBorder="1"/>
    <xf numFmtId="0" fontId="20" fillId="11" borderId="18" xfId="0" applyFont="1" applyFill="1" applyBorder="1" applyAlignment="1">
      <alignment horizontal="center" vertical="center"/>
    </xf>
    <xf numFmtId="0" fontId="20" fillId="6" borderId="50" xfId="0" applyFont="1" applyFill="1" applyBorder="1" applyAlignment="1">
      <alignment horizontal="center" vertical="center"/>
    </xf>
    <xf numFmtId="0" fontId="19" fillId="8" borderId="29" xfId="0" applyFont="1" applyFill="1" applyBorder="1" applyAlignment="1">
      <alignment horizontal="center"/>
    </xf>
    <xf numFmtId="0" fontId="20" fillId="0" borderId="25" xfId="0" applyFont="1" applyBorder="1" applyAlignment="1"/>
    <xf numFmtId="0" fontId="20" fillId="6" borderId="7" xfId="0" applyFont="1" applyFill="1" applyBorder="1"/>
    <xf numFmtId="0" fontId="20" fillId="0" borderId="45" xfId="0" applyFont="1" applyFill="1" applyBorder="1" applyAlignment="1">
      <alignment horizontal="center" vertical="center" wrapText="1"/>
    </xf>
    <xf numFmtId="0" fontId="20" fillId="0" borderId="64" xfId="0" applyFont="1" applyFill="1" applyBorder="1"/>
    <xf numFmtId="0" fontId="20" fillId="0" borderId="41" xfId="0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center"/>
    </xf>
    <xf numFmtId="0" fontId="8" fillId="9" borderId="7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0" fontId="8" fillId="9" borderId="16" xfId="0" applyFont="1" applyFill="1" applyBorder="1" applyAlignment="1">
      <alignment horizontal="center"/>
    </xf>
    <xf numFmtId="0" fontId="8" fillId="9" borderId="17" xfId="0" applyFont="1" applyFill="1" applyBorder="1" applyAlignment="1">
      <alignment horizontal="center"/>
    </xf>
    <xf numFmtId="0" fontId="7" fillId="4" borderId="21" xfId="0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wrapText="1"/>
    </xf>
    <xf numFmtId="0" fontId="7" fillId="4" borderId="22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8" fillId="9" borderId="13" xfId="0" applyFont="1" applyFill="1" applyBorder="1" applyAlignment="1">
      <alignment horizontal="center"/>
    </xf>
    <xf numFmtId="0" fontId="8" fillId="9" borderId="14" xfId="0" applyFont="1" applyFill="1" applyBorder="1" applyAlignment="1">
      <alignment horizontal="center"/>
    </xf>
    <xf numFmtId="0" fontId="8" fillId="9" borderId="15" xfId="0" applyFont="1" applyFill="1" applyBorder="1" applyAlignment="1">
      <alignment horizontal="center"/>
    </xf>
    <xf numFmtId="0" fontId="8" fillId="9" borderId="25" xfId="0" applyFont="1" applyFill="1" applyBorder="1" applyAlignment="1">
      <alignment horizontal="center"/>
    </xf>
    <xf numFmtId="0" fontId="8" fillId="9" borderId="26" xfId="0" applyFont="1" applyFill="1" applyBorder="1" applyAlignment="1">
      <alignment horizontal="center"/>
    </xf>
    <xf numFmtId="0" fontId="8" fillId="9" borderId="27" xfId="0" applyFont="1" applyFill="1" applyBorder="1" applyAlignment="1">
      <alignment horizontal="center"/>
    </xf>
    <xf numFmtId="0" fontId="20" fillId="9" borderId="18" xfId="0" applyFont="1" applyFill="1" applyBorder="1" applyAlignment="1">
      <alignment horizontal="center"/>
    </xf>
    <xf numFmtId="0" fontId="20" fillId="9" borderId="7" xfId="0" applyFont="1" applyFill="1" applyBorder="1" applyAlignment="1">
      <alignment horizontal="center"/>
    </xf>
    <xf numFmtId="0" fontId="20" fillId="9" borderId="8" xfId="0" applyFont="1" applyFill="1" applyBorder="1" applyAlignment="1">
      <alignment horizontal="center"/>
    </xf>
    <xf numFmtId="0" fontId="21" fillId="2" borderId="18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1" fillId="2" borderId="8" xfId="0" applyFont="1" applyFill="1" applyBorder="1" applyAlignment="1">
      <alignment horizontal="center"/>
    </xf>
    <xf numFmtId="0" fontId="20" fillId="9" borderId="57" xfId="0" applyFont="1" applyFill="1" applyBorder="1" applyAlignment="1">
      <alignment horizontal="center"/>
    </xf>
    <xf numFmtId="0" fontId="20" fillId="9" borderId="54" xfId="0" applyFont="1" applyFill="1" applyBorder="1" applyAlignment="1">
      <alignment horizontal="center"/>
    </xf>
    <xf numFmtId="0" fontId="20" fillId="9" borderId="55" xfId="0" applyFont="1" applyFill="1" applyBorder="1" applyAlignment="1">
      <alignment horizontal="center"/>
    </xf>
    <xf numFmtId="0" fontId="20" fillId="9" borderId="15" xfId="0" applyFont="1" applyFill="1" applyBorder="1" applyAlignment="1">
      <alignment horizontal="center"/>
    </xf>
    <xf numFmtId="0" fontId="21" fillId="2" borderId="18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19" fillId="8" borderId="55" xfId="0" applyFont="1" applyFill="1" applyBorder="1" applyAlignment="1">
      <alignment horizontal="center" vertical="center"/>
    </xf>
    <xf numFmtId="0" fontId="19" fillId="8" borderId="14" xfId="0" applyFont="1" applyFill="1" applyBorder="1" applyAlignment="1">
      <alignment horizontal="center" vertical="center"/>
    </xf>
    <xf numFmtId="0" fontId="20" fillId="4" borderId="46" xfId="0" applyFont="1" applyFill="1" applyBorder="1" applyAlignment="1">
      <alignment horizontal="center" wrapText="1"/>
    </xf>
    <xf numFmtId="0" fontId="20" fillId="4" borderId="56" xfId="0" applyFont="1" applyFill="1" applyBorder="1" applyAlignment="1">
      <alignment horizontal="center" wrapText="1"/>
    </xf>
    <xf numFmtId="0" fontId="19" fillId="2" borderId="57" xfId="0" applyFont="1" applyFill="1" applyBorder="1" applyAlignment="1">
      <alignment horizontal="center" vertical="center"/>
    </xf>
    <xf numFmtId="0" fontId="19" fillId="2" borderId="66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20" fillId="5" borderId="1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57" xfId="0" applyFont="1" applyFill="1" applyBorder="1" applyAlignment="1">
      <alignment horizontal="center" vertical="center"/>
    </xf>
    <xf numFmtId="0" fontId="20" fillId="5" borderId="54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left" vertical="center"/>
    </xf>
    <xf numFmtId="0" fontId="20" fillId="3" borderId="8" xfId="0" applyFont="1" applyFill="1" applyBorder="1" applyAlignment="1">
      <alignment horizontal="left" vertical="center"/>
    </xf>
    <xf numFmtId="0" fontId="20" fillId="9" borderId="66" xfId="0" applyFont="1" applyFill="1" applyBorder="1" applyAlignment="1">
      <alignment horizontal="center"/>
    </xf>
    <xf numFmtId="0" fontId="19" fillId="2" borderId="65" xfId="0" applyFont="1" applyFill="1" applyBorder="1" applyAlignment="1">
      <alignment horizontal="center" vertical="center"/>
    </xf>
    <xf numFmtId="0" fontId="19" fillId="2" borderId="64" xfId="0" applyFont="1" applyFill="1" applyBorder="1" applyAlignment="1">
      <alignment horizontal="center" vertical="center"/>
    </xf>
    <xf numFmtId="0" fontId="21" fillId="2" borderId="65" xfId="0" applyFont="1" applyFill="1" applyBorder="1" applyAlignment="1">
      <alignment horizontal="center"/>
    </xf>
    <xf numFmtId="0" fontId="21" fillId="2" borderId="64" xfId="0" applyFont="1" applyFill="1" applyBorder="1" applyAlignment="1">
      <alignment horizontal="center"/>
    </xf>
    <xf numFmtId="0" fontId="21" fillId="2" borderId="63" xfId="0" applyFont="1" applyFill="1" applyBorder="1" applyAlignment="1">
      <alignment horizontal="center"/>
    </xf>
    <xf numFmtId="0" fontId="19" fillId="4" borderId="57" xfId="0" applyFont="1" applyFill="1" applyBorder="1" applyAlignment="1">
      <alignment horizontal="center" vertical="center" wrapText="1"/>
    </xf>
    <xf numFmtId="0" fontId="19" fillId="4" borderId="66" xfId="0" applyFont="1" applyFill="1" applyBorder="1" applyAlignment="1">
      <alignment horizontal="center" vertical="center" wrapText="1"/>
    </xf>
    <xf numFmtId="0" fontId="21" fillId="4" borderId="57" xfId="0" applyFont="1" applyFill="1" applyBorder="1" applyAlignment="1">
      <alignment horizontal="center" wrapText="1"/>
    </xf>
    <xf numFmtId="0" fontId="21" fillId="4" borderId="66" xfId="0" applyFont="1" applyFill="1" applyBorder="1" applyAlignment="1">
      <alignment horizontal="center" wrapText="1"/>
    </xf>
    <xf numFmtId="0" fontId="21" fillId="4" borderId="54" xfId="0" applyFont="1" applyFill="1" applyBorder="1" applyAlignment="1">
      <alignment horizontal="center" wrapText="1"/>
    </xf>
    <xf numFmtId="0" fontId="20" fillId="9" borderId="14" xfId="0" applyFont="1" applyFill="1" applyBorder="1" applyAlignment="1">
      <alignment horizontal="center"/>
    </xf>
    <xf numFmtId="0" fontId="8" fillId="0" borderId="21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1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0" fillId="0" borderId="58" xfId="0" applyBorder="1" applyAlignment="1">
      <alignment horizontal="center"/>
    </xf>
    <xf numFmtId="0" fontId="0" fillId="0" borderId="54" xfId="0" applyBorder="1" applyAlignment="1">
      <alignment horizontal="center"/>
    </xf>
    <xf numFmtId="0" fontId="8" fillId="24" borderId="55" xfId="0" applyFont="1" applyFill="1" applyBorder="1" applyAlignment="1">
      <alignment horizontal="center" vertical="center" wrapText="1"/>
    </xf>
    <xf numFmtId="0" fontId="8" fillId="24" borderId="14" xfId="0" applyFont="1" applyFill="1" applyBorder="1" applyAlignment="1">
      <alignment horizontal="center" vertical="center" wrapText="1"/>
    </xf>
    <xf numFmtId="0" fontId="8" fillId="24" borderId="15" xfId="0" applyFont="1" applyFill="1" applyBorder="1" applyAlignment="1">
      <alignment horizontal="center" vertical="center" wrapText="1"/>
    </xf>
  </cellXfs>
  <cellStyles count="3">
    <cellStyle name="Normale" xfId="0" builtinId="0"/>
    <cellStyle name="Normale_Bonus 110 terranova" xfId="1" xr:uid="{8DFF03E9-E4B7-4BF6-85C2-D1F812279B17}"/>
    <cellStyle name="Normale_Foglio2" xfId="2" xr:uid="{CF650B1C-DFAF-4B56-8988-4037F66F8775}"/>
  </cellStyles>
  <dxfs count="450">
    <dxf>
      <fill>
        <patternFill>
          <bgColor theme="2" tint="-9.9948118533890809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DC0A5-DD61-490B-9554-7E04047BE2A8}">
  <dimension ref="A1:I45"/>
  <sheetViews>
    <sheetView topLeftCell="A4" workbookViewId="0">
      <selection activeCell="A13" sqref="A13"/>
    </sheetView>
  </sheetViews>
  <sheetFormatPr defaultColWidth="8.88671875" defaultRowHeight="13.8" x14ac:dyDescent="0.3"/>
  <cols>
    <col min="1" max="1" width="38.109375" style="4" bestFit="1" customWidth="1"/>
    <col min="2" max="2" width="16.33203125" style="4" bestFit="1" customWidth="1"/>
    <col min="3" max="8" width="12.5546875" style="4" bestFit="1" customWidth="1"/>
    <col min="9" max="9" width="13.6640625" style="4" bestFit="1" customWidth="1"/>
    <col min="10" max="15" width="12.6640625" style="4" customWidth="1"/>
    <col min="16" max="16384" width="8.88671875" style="4"/>
  </cols>
  <sheetData>
    <row r="1" spans="1:9" ht="14.4" thickBot="1" x14ac:dyDescent="0.35">
      <c r="A1" s="22" t="s">
        <v>38</v>
      </c>
      <c r="B1" s="23" t="s">
        <v>9</v>
      </c>
      <c r="C1" s="23" t="s">
        <v>3</v>
      </c>
      <c r="D1" s="23" t="s">
        <v>4</v>
      </c>
      <c r="E1" s="23" t="s">
        <v>0</v>
      </c>
      <c r="F1" s="23" t="s">
        <v>1</v>
      </c>
      <c r="G1" s="23" t="s">
        <v>5</v>
      </c>
      <c r="H1" s="23" t="s">
        <v>6</v>
      </c>
      <c r="I1" s="23" t="s">
        <v>7</v>
      </c>
    </row>
    <row r="2" spans="1:9" ht="14.4" thickBot="1" x14ac:dyDescent="0.35">
      <c r="A2" s="387" t="s">
        <v>31</v>
      </c>
      <c r="B2" s="388"/>
      <c r="C2" s="388"/>
      <c r="D2" s="388"/>
      <c r="E2" s="388"/>
      <c r="F2" s="388"/>
      <c r="G2" s="388"/>
      <c r="H2" s="388"/>
      <c r="I2" s="389"/>
    </row>
    <row r="3" spans="1:9" ht="14.4" thickBot="1" x14ac:dyDescent="0.35">
      <c r="A3" s="24" t="s">
        <v>8</v>
      </c>
      <c r="B3" s="390"/>
      <c r="C3" s="391"/>
      <c r="D3" s="391"/>
      <c r="E3" s="391"/>
      <c r="F3" s="391"/>
      <c r="G3" s="391"/>
      <c r="H3" s="391"/>
      <c r="I3" s="392"/>
    </row>
    <row r="4" spans="1:9" ht="27" x14ac:dyDescent="0.3">
      <c r="A4" s="25" t="s">
        <v>34</v>
      </c>
      <c r="B4" s="5"/>
      <c r="C4" s="5"/>
      <c r="D4" s="5"/>
      <c r="E4" s="26"/>
      <c r="F4" s="5"/>
      <c r="G4" s="5"/>
      <c r="H4" s="5"/>
      <c r="I4" s="6"/>
    </row>
    <row r="5" spans="1:9" s="10" customFormat="1" ht="29.4" customHeight="1" x14ac:dyDescent="0.3">
      <c r="A5" s="7" t="s">
        <v>33</v>
      </c>
      <c r="B5" s="8"/>
      <c r="C5" s="8"/>
      <c r="D5" s="8"/>
      <c r="E5" s="8"/>
      <c r="F5" s="27"/>
      <c r="G5" s="8"/>
      <c r="H5" s="8"/>
      <c r="I5" s="9"/>
    </row>
    <row r="6" spans="1:9" x14ac:dyDescent="0.3">
      <c r="A6" s="28" t="s">
        <v>10</v>
      </c>
      <c r="B6" s="393"/>
      <c r="C6" s="394"/>
      <c r="D6" s="394"/>
      <c r="E6" s="394"/>
      <c r="F6" s="394"/>
      <c r="G6" s="394"/>
      <c r="H6" s="394"/>
      <c r="I6" s="395"/>
    </row>
    <row r="7" spans="1:9" ht="27" x14ac:dyDescent="0.3">
      <c r="A7" s="29" t="s">
        <v>14</v>
      </c>
      <c r="B7" s="14"/>
      <c r="C7" s="14"/>
      <c r="D7" s="14"/>
      <c r="E7" s="30"/>
      <c r="F7" s="30"/>
      <c r="G7" s="14"/>
      <c r="H7" s="14"/>
      <c r="I7" s="15"/>
    </row>
    <row r="8" spans="1:9" x14ac:dyDescent="0.3">
      <c r="A8" s="28" t="s">
        <v>11</v>
      </c>
      <c r="B8" s="393"/>
      <c r="C8" s="394"/>
      <c r="D8" s="394"/>
      <c r="E8" s="394"/>
      <c r="F8" s="394"/>
      <c r="G8" s="394"/>
      <c r="H8" s="394"/>
      <c r="I8" s="395"/>
    </row>
    <row r="9" spans="1:9" ht="27" x14ac:dyDescent="0.3">
      <c r="A9" s="29" t="s">
        <v>15</v>
      </c>
      <c r="B9" s="14"/>
      <c r="C9" s="14"/>
      <c r="D9" s="14"/>
      <c r="E9" s="30"/>
      <c r="F9" s="17"/>
      <c r="G9" s="14"/>
      <c r="H9" s="14"/>
      <c r="I9" s="15"/>
    </row>
    <row r="10" spans="1:9" ht="27" x14ac:dyDescent="0.3">
      <c r="A10" s="29" t="s">
        <v>16</v>
      </c>
      <c r="B10" s="14"/>
      <c r="C10" s="14"/>
      <c r="D10" s="14"/>
      <c r="E10" s="14"/>
      <c r="F10" s="30"/>
      <c r="G10" s="14"/>
      <c r="H10" s="14"/>
      <c r="I10" s="15"/>
    </row>
    <row r="11" spans="1:9" x14ac:dyDescent="0.3">
      <c r="A11" s="28" t="s">
        <v>12</v>
      </c>
      <c r="B11" s="393"/>
      <c r="C11" s="394"/>
      <c r="D11" s="394"/>
      <c r="E11" s="394"/>
      <c r="F11" s="394"/>
      <c r="G11" s="394"/>
      <c r="H11" s="394"/>
      <c r="I11" s="395"/>
    </row>
    <row r="12" spans="1:9" ht="27" x14ac:dyDescent="0.3">
      <c r="A12" s="29" t="s">
        <v>17</v>
      </c>
      <c r="B12" s="14"/>
      <c r="C12" s="14"/>
      <c r="D12" s="14"/>
      <c r="E12" s="30"/>
      <c r="F12" s="30"/>
      <c r="G12" s="14"/>
      <c r="H12" s="14"/>
      <c r="I12" s="15"/>
    </row>
    <row r="13" spans="1:9" x14ac:dyDescent="0.3">
      <c r="A13" s="28" t="s">
        <v>68</v>
      </c>
      <c r="B13" s="393"/>
      <c r="C13" s="394"/>
      <c r="D13" s="394"/>
      <c r="E13" s="394"/>
      <c r="F13" s="394"/>
      <c r="G13" s="394"/>
      <c r="H13" s="394"/>
      <c r="I13" s="395"/>
    </row>
    <row r="14" spans="1:9" ht="27.6" thickBot="1" x14ac:dyDescent="0.35">
      <c r="A14" s="13" t="s">
        <v>18</v>
      </c>
      <c r="B14" s="14"/>
      <c r="C14" s="14"/>
      <c r="D14" s="14"/>
      <c r="E14" s="30"/>
      <c r="F14" s="30"/>
      <c r="G14" s="14"/>
      <c r="H14" s="14"/>
      <c r="I14" s="15"/>
    </row>
    <row r="15" spans="1:9" ht="14.4" thickBot="1" x14ac:dyDescent="0.35">
      <c r="A15" s="22" t="s">
        <v>38</v>
      </c>
      <c r="B15" s="23" t="s">
        <v>9</v>
      </c>
      <c r="C15" s="23" t="s">
        <v>3</v>
      </c>
      <c r="D15" s="23" t="s">
        <v>4</v>
      </c>
      <c r="E15" s="23" t="s">
        <v>0</v>
      </c>
      <c r="F15" s="23" t="s">
        <v>1</v>
      </c>
      <c r="G15" s="23" t="s">
        <v>5</v>
      </c>
      <c r="H15" s="23" t="s">
        <v>6</v>
      </c>
      <c r="I15" s="23" t="s">
        <v>7</v>
      </c>
    </row>
    <row r="16" spans="1:9" ht="14.4" thickBot="1" x14ac:dyDescent="0.35">
      <c r="A16" s="384" t="s">
        <v>32</v>
      </c>
      <c r="B16" s="385"/>
      <c r="C16" s="385"/>
      <c r="D16" s="385"/>
      <c r="E16" s="385"/>
      <c r="F16" s="385"/>
      <c r="G16" s="385"/>
      <c r="H16" s="385"/>
      <c r="I16" s="386"/>
    </row>
    <row r="17" spans="1:9" ht="14.4" thickBot="1" x14ac:dyDescent="0.35">
      <c r="A17" s="20" t="s">
        <v>8</v>
      </c>
      <c r="B17" s="379"/>
      <c r="C17" s="380"/>
      <c r="D17" s="380"/>
      <c r="E17" s="380"/>
      <c r="F17" s="380"/>
      <c r="G17" s="380"/>
      <c r="H17" s="380"/>
      <c r="I17" s="381"/>
    </row>
    <row r="18" spans="1:9" ht="26.4" x14ac:dyDescent="0.3">
      <c r="A18" s="31" t="s">
        <v>19</v>
      </c>
      <c r="B18" s="32"/>
      <c r="C18" s="32"/>
      <c r="D18" s="32"/>
      <c r="E18" s="5"/>
      <c r="F18" s="5"/>
      <c r="G18" s="5"/>
      <c r="H18" s="5"/>
      <c r="I18" s="6"/>
    </row>
    <row r="19" spans="1:9" ht="29.4" customHeight="1" x14ac:dyDescent="0.3">
      <c r="A19" s="7" t="s">
        <v>58</v>
      </c>
      <c r="B19" s="14"/>
      <c r="C19" s="14"/>
      <c r="D19" s="14"/>
      <c r="E19" s="33"/>
      <c r="F19" s="14"/>
      <c r="G19" s="14"/>
      <c r="H19" s="14"/>
      <c r="I19" s="15"/>
    </row>
    <row r="20" spans="1:9" ht="26.4" x14ac:dyDescent="0.3">
      <c r="A20" s="7" t="s">
        <v>35</v>
      </c>
      <c r="B20" s="14"/>
      <c r="C20" s="14"/>
      <c r="D20" s="14"/>
      <c r="E20" s="14"/>
      <c r="F20" s="33"/>
      <c r="G20" s="14"/>
      <c r="H20" s="14"/>
      <c r="I20" s="15"/>
    </row>
    <row r="21" spans="1:9" ht="26.4" x14ac:dyDescent="0.3">
      <c r="A21" s="7" t="s">
        <v>36</v>
      </c>
      <c r="B21" s="14"/>
      <c r="C21" s="14"/>
      <c r="D21" s="14"/>
      <c r="E21" s="14"/>
      <c r="F21" s="14"/>
      <c r="G21" s="33"/>
      <c r="H21" s="14"/>
      <c r="I21" s="15"/>
    </row>
    <row r="22" spans="1:9" ht="27" thickBot="1" x14ac:dyDescent="0.35">
      <c r="A22" s="34" t="s">
        <v>37</v>
      </c>
      <c r="B22" s="11"/>
      <c r="C22" s="11"/>
      <c r="D22" s="11"/>
      <c r="E22" s="11"/>
      <c r="F22" s="11"/>
      <c r="G22" s="11"/>
      <c r="H22" s="11"/>
      <c r="I22" s="35"/>
    </row>
    <row r="23" spans="1:9" ht="14.4" thickBot="1" x14ac:dyDescent="0.35">
      <c r="A23" s="20" t="s">
        <v>10</v>
      </c>
      <c r="B23" s="379"/>
      <c r="C23" s="380"/>
      <c r="D23" s="380"/>
      <c r="E23" s="380"/>
      <c r="F23" s="380"/>
      <c r="G23" s="380"/>
      <c r="H23" s="380"/>
      <c r="I23" s="381"/>
    </row>
    <row r="24" spans="1:9" ht="27" x14ac:dyDescent="0.3">
      <c r="A24" s="13" t="s">
        <v>60</v>
      </c>
      <c r="B24" s="32"/>
      <c r="C24" s="32"/>
      <c r="D24" s="5"/>
      <c r="E24" s="32"/>
      <c r="F24" s="32"/>
      <c r="G24" s="5"/>
      <c r="H24" s="5"/>
      <c r="I24" s="36" t="s">
        <v>61</v>
      </c>
    </row>
    <row r="25" spans="1:9" ht="27.6" thickBot="1" x14ac:dyDescent="0.35">
      <c r="A25" s="19" t="s">
        <v>62</v>
      </c>
      <c r="B25" s="11"/>
      <c r="C25" s="11"/>
      <c r="D25" s="37"/>
      <c r="E25" s="11"/>
      <c r="F25" s="11"/>
      <c r="G25" s="38" t="s">
        <v>63</v>
      </c>
      <c r="H25" s="11"/>
      <c r="I25" s="12"/>
    </row>
    <row r="26" spans="1:9" ht="14.4" thickBot="1" x14ac:dyDescent="0.35">
      <c r="A26" s="20" t="s">
        <v>11</v>
      </c>
      <c r="B26" s="379"/>
      <c r="C26" s="380"/>
      <c r="D26" s="380"/>
      <c r="E26" s="380"/>
      <c r="F26" s="380"/>
      <c r="G26" s="380"/>
      <c r="H26" s="380"/>
      <c r="I26" s="381"/>
    </row>
    <row r="27" spans="1:9" ht="27" x14ac:dyDescent="0.3">
      <c r="A27" s="13" t="s">
        <v>15</v>
      </c>
      <c r="B27" s="32"/>
      <c r="C27" s="32"/>
      <c r="D27" s="5"/>
      <c r="E27" s="32"/>
      <c r="F27" s="5"/>
      <c r="G27" s="5"/>
      <c r="H27" s="5"/>
      <c r="I27" s="6"/>
    </row>
    <row r="28" spans="1:9" ht="27" x14ac:dyDescent="0.3">
      <c r="A28" s="21" t="s">
        <v>16</v>
      </c>
      <c r="B28" s="14"/>
      <c r="C28" s="14"/>
      <c r="D28" s="33"/>
      <c r="E28" s="14"/>
      <c r="F28" s="33"/>
      <c r="G28" s="17"/>
      <c r="H28" s="14"/>
      <c r="I28" s="16"/>
    </row>
    <row r="29" spans="1:9" ht="27.6" thickBot="1" x14ac:dyDescent="0.35">
      <c r="A29" s="19" t="s">
        <v>64</v>
      </c>
      <c r="B29" s="11"/>
      <c r="C29" s="11"/>
      <c r="D29" s="11"/>
      <c r="E29" s="11"/>
      <c r="F29" s="11"/>
      <c r="G29" s="37"/>
      <c r="H29" s="11"/>
      <c r="I29" s="39" t="s">
        <v>65</v>
      </c>
    </row>
    <row r="30" spans="1:9" ht="14.4" thickBot="1" x14ac:dyDescent="0.35">
      <c r="A30" s="20" t="s">
        <v>12</v>
      </c>
      <c r="B30" s="379"/>
      <c r="C30" s="380"/>
      <c r="D30" s="380"/>
      <c r="E30" s="380"/>
      <c r="F30" s="380"/>
      <c r="G30" s="380"/>
      <c r="H30" s="380"/>
      <c r="I30" s="381"/>
    </row>
    <row r="31" spans="1:9" ht="27" x14ac:dyDescent="0.3">
      <c r="A31" s="13" t="s">
        <v>22</v>
      </c>
      <c r="B31" s="32"/>
      <c r="C31" s="5"/>
      <c r="D31" s="5"/>
      <c r="E31" s="5"/>
      <c r="F31" s="5"/>
      <c r="G31" s="5"/>
      <c r="H31" s="5"/>
      <c r="I31" s="6"/>
    </row>
    <row r="32" spans="1:9" ht="27" x14ac:dyDescent="0.3">
      <c r="A32" s="21" t="s">
        <v>23</v>
      </c>
      <c r="B32" s="14"/>
      <c r="C32" s="33"/>
      <c r="D32" s="17"/>
      <c r="E32" s="14"/>
      <c r="F32" s="14"/>
      <c r="G32" s="14"/>
      <c r="H32" s="14"/>
      <c r="I32" s="15"/>
    </row>
    <row r="33" spans="1:9" ht="27" x14ac:dyDescent="0.3">
      <c r="A33" s="21" t="s">
        <v>24</v>
      </c>
      <c r="B33" s="14"/>
      <c r="C33" s="17"/>
      <c r="D33" s="33"/>
      <c r="E33" s="14"/>
      <c r="F33" s="14"/>
      <c r="G33" s="14"/>
      <c r="H33" s="14"/>
      <c r="I33" s="15"/>
    </row>
    <row r="34" spans="1:9" ht="27" x14ac:dyDescent="0.3">
      <c r="A34" s="21" t="s">
        <v>17</v>
      </c>
      <c r="B34" s="14"/>
      <c r="C34" s="17"/>
      <c r="D34" s="14"/>
      <c r="E34" s="33"/>
      <c r="F34" s="33"/>
      <c r="G34" s="14"/>
      <c r="H34" s="14"/>
      <c r="I34" s="15"/>
    </row>
    <row r="35" spans="1:9" ht="27" x14ac:dyDescent="0.3">
      <c r="A35" s="21" t="s">
        <v>25</v>
      </c>
      <c r="B35" s="14"/>
      <c r="C35" s="17"/>
      <c r="D35" s="14"/>
      <c r="E35" s="17"/>
      <c r="F35" s="17"/>
      <c r="G35" s="33"/>
      <c r="H35" s="14"/>
      <c r="I35" s="15"/>
    </row>
    <row r="36" spans="1:9" ht="27.6" thickBot="1" x14ac:dyDescent="0.35">
      <c r="A36" s="19" t="s">
        <v>26</v>
      </c>
      <c r="B36" s="11"/>
      <c r="C36" s="18"/>
      <c r="D36" s="11"/>
      <c r="E36" s="11"/>
      <c r="F36" s="11"/>
      <c r="G36" s="11"/>
      <c r="H36" s="11"/>
      <c r="I36" s="35"/>
    </row>
    <row r="37" spans="1:9" ht="14.4" thickBot="1" x14ac:dyDescent="0.35">
      <c r="A37" s="20" t="s">
        <v>13</v>
      </c>
      <c r="B37" s="379"/>
      <c r="C37" s="380"/>
      <c r="D37" s="380"/>
      <c r="E37" s="380"/>
      <c r="F37" s="380"/>
      <c r="G37" s="380"/>
      <c r="H37" s="380"/>
      <c r="I37" s="381"/>
    </row>
    <row r="38" spans="1:9" ht="27" x14ac:dyDescent="0.3">
      <c r="A38" s="13" t="s">
        <v>50</v>
      </c>
      <c r="B38" s="32"/>
      <c r="C38" s="5"/>
      <c r="D38" s="5"/>
      <c r="E38" s="5"/>
      <c r="F38" s="5"/>
      <c r="G38" s="5"/>
      <c r="H38" s="5"/>
      <c r="I38" s="6"/>
    </row>
    <row r="39" spans="1:9" ht="27" x14ac:dyDescent="0.3">
      <c r="A39" s="21" t="s">
        <v>30</v>
      </c>
      <c r="B39" s="14"/>
      <c r="C39" s="33"/>
      <c r="D39" s="14"/>
      <c r="E39" s="14"/>
      <c r="F39" s="14"/>
      <c r="G39" s="14"/>
      <c r="H39" s="14"/>
      <c r="I39" s="15"/>
    </row>
    <row r="40" spans="1:9" ht="27" x14ac:dyDescent="0.3">
      <c r="A40" s="21" t="s">
        <v>29</v>
      </c>
      <c r="B40" s="14"/>
      <c r="C40" s="14"/>
      <c r="D40" s="33"/>
      <c r="E40" s="14"/>
      <c r="F40" s="14"/>
      <c r="G40" s="14"/>
      <c r="H40" s="14"/>
      <c r="I40" s="15"/>
    </row>
    <row r="41" spans="1:9" ht="27" x14ac:dyDescent="0.3">
      <c r="A41" s="21" t="s">
        <v>18</v>
      </c>
      <c r="B41" s="14"/>
      <c r="C41" s="14"/>
      <c r="D41" s="14"/>
      <c r="E41" s="33"/>
      <c r="F41" s="33"/>
      <c r="G41" s="14"/>
      <c r="H41" s="14"/>
      <c r="I41" s="15"/>
    </row>
    <row r="42" spans="1:9" ht="27" x14ac:dyDescent="0.3">
      <c r="A42" s="21" t="s">
        <v>28</v>
      </c>
      <c r="B42" s="14"/>
      <c r="C42" s="14"/>
      <c r="D42" s="14"/>
      <c r="E42" s="14"/>
      <c r="F42" s="14"/>
      <c r="G42" s="33"/>
      <c r="H42" s="14"/>
      <c r="I42" s="15"/>
    </row>
    <row r="43" spans="1:9" ht="27.6" thickBot="1" x14ac:dyDescent="0.35">
      <c r="A43" s="19" t="s">
        <v>27</v>
      </c>
      <c r="B43" s="11"/>
      <c r="C43" s="11"/>
      <c r="D43" s="11"/>
      <c r="E43" s="11"/>
      <c r="F43" s="11"/>
      <c r="G43" s="11"/>
      <c r="H43" s="11"/>
      <c r="I43" s="35"/>
    </row>
    <row r="44" spans="1:9" ht="14.4" thickBot="1" x14ac:dyDescent="0.35">
      <c r="A44" s="20" t="s">
        <v>20</v>
      </c>
      <c r="B44" s="382"/>
      <c r="C44" s="382"/>
      <c r="D44" s="382"/>
      <c r="E44" s="382"/>
      <c r="F44" s="382"/>
      <c r="G44" s="382"/>
      <c r="H44" s="382"/>
      <c r="I44" s="383"/>
    </row>
    <row r="45" spans="1:9" ht="27.6" thickBot="1" x14ac:dyDescent="0.35">
      <c r="A45" s="40" t="s">
        <v>21</v>
      </c>
      <c r="B45" s="41"/>
      <c r="C45" s="41"/>
      <c r="D45" s="41"/>
      <c r="E45" s="41"/>
      <c r="F45" s="42"/>
      <c r="G45" s="41"/>
      <c r="H45" s="41"/>
      <c r="I45" s="43"/>
    </row>
  </sheetData>
  <mergeCells count="13">
    <mergeCell ref="B37:I37"/>
    <mergeCell ref="B30:I30"/>
    <mergeCell ref="B44:I44"/>
    <mergeCell ref="A16:I16"/>
    <mergeCell ref="A2:I2"/>
    <mergeCell ref="B3:I3"/>
    <mergeCell ref="B17:I17"/>
    <mergeCell ref="B23:I23"/>
    <mergeCell ref="B26:I26"/>
    <mergeCell ref="B13:I13"/>
    <mergeCell ref="B11:I11"/>
    <mergeCell ref="B8:I8"/>
    <mergeCell ref="B6:I6"/>
  </mergeCells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CA9D7-8AAC-42BF-93C0-F2D02671D87D}">
  <sheetPr>
    <tabColor theme="9" tint="-0.249977111117893"/>
  </sheetPr>
  <dimension ref="A1:P5"/>
  <sheetViews>
    <sheetView workbookViewId="0">
      <selection activeCell="C1" sqref="C1:O1"/>
    </sheetView>
  </sheetViews>
  <sheetFormatPr defaultRowHeight="14.4" x14ac:dyDescent="0.3"/>
  <cols>
    <col min="2" max="2" width="26.6640625" bestFit="1" customWidth="1"/>
  </cols>
  <sheetData>
    <row r="1" spans="1:16" s="80" customFormat="1" ht="36" x14ac:dyDescent="0.25">
      <c r="B1" s="2" t="s">
        <v>5</v>
      </c>
      <c r="C1" s="74" t="s">
        <v>71</v>
      </c>
      <c r="D1" s="73" t="s">
        <v>72</v>
      </c>
      <c r="E1" s="48" t="s">
        <v>73</v>
      </c>
      <c r="F1" s="48" t="s">
        <v>74</v>
      </c>
      <c r="G1" s="46" t="s">
        <v>475</v>
      </c>
      <c r="H1" s="46" t="s">
        <v>75</v>
      </c>
      <c r="I1" s="47" t="s">
        <v>76</v>
      </c>
      <c r="J1" s="48" t="s">
        <v>77</v>
      </c>
      <c r="K1" s="49" t="s">
        <v>78</v>
      </c>
      <c r="L1" s="49" t="s">
        <v>79</v>
      </c>
      <c r="M1" s="45" t="s">
        <v>80</v>
      </c>
      <c r="N1" s="45" t="s">
        <v>81</v>
      </c>
      <c r="O1" s="45" t="s">
        <v>82</v>
      </c>
    </row>
    <row r="2" spans="1:16" s="80" customFormat="1" ht="13.8" x14ac:dyDescent="0.25">
      <c r="A2" s="61">
        <v>151</v>
      </c>
      <c r="B2" s="51" t="s">
        <v>365</v>
      </c>
      <c r="C2" s="75">
        <v>0.44151466749106899</v>
      </c>
      <c r="D2" s="52">
        <v>1981</v>
      </c>
      <c r="E2" s="53">
        <v>166</v>
      </c>
      <c r="F2" s="54">
        <v>900</v>
      </c>
      <c r="G2" s="55">
        <v>4563.8125</v>
      </c>
      <c r="H2" s="55">
        <v>0.24505050505050505</v>
      </c>
      <c r="I2" s="55">
        <v>0.75</v>
      </c>
      <c r="J2" s="55">
        <v>914.1875</v>
      </c>
      <c r="K2" s="56">
        <v>606</v>
      </c>
      <c r="L2" s="55">
        <v>1.5085602310231023</v>
      </c>
      <c r="M2" s="52" t="s">
        <v>85</v>
      </c>
      <c r="N2" s="52" t="s">
        <v>85</v>
      </c>
      <c r="O2" s="14">
        <v>99</v>
      </c>
      <c r="P2" s="71"/>
    </row>
    <row r="3" spans="1:16" s="80" customFormat="1" ht="13.8" x14ac:dyDescent="0.25">
      <c r="A3" s="61">
        <v>192</v>
      </c>
      <c r="B3" s="51" t="s">
        <v>407</v>
      </c>
      <c r="C3" s="75">
        <v>0.44646098290238356</v>
      </c>
      <c r="D3" s="52">
        <v>1981</v>
      </c>
      <c r="E3" s="53">
        <v>269</v>
      </c>
      <c r="F3" s="54">
        <v>1498</v>
      </c>
      <c r="G3" s="55">
        <v>7347.4375</v>
      </c>
      <c r="H3" s="55">
        <v>0.24017882429097381</v>
      </c>
      <c r="I3" s="55">
        <v>0.75</v>
      </c>
      <c r="J3" s="55">
        <v>1529.5625</v>
      </c>
      <c r="K3" s="56">
        <v>1035</v>
      </c>
      <c r="L3" s="55">
        <v>1.4778381642512077</v>
      </c>
      <c r="M3" s="52" t="s">
        <v>85</v>
      </c>
      <c r="N3" s="52" t="s">
        <v>85</v>
      </c>
      <c r="O3" s="14">
        <v>160</v>
      </c>
      <c r="P3" s="71"/>
    </row>
    <row r="4" spans="1:16" s="84" customFormat="1" ht="13.8" x14ac:dyDescent="0.3">
      <c r="C4" s="85" t="s">
        <v>473</v>
      </c>
      <c r="F4" s="86" t="s">
        <v>472</v>
      </c>
      <c r="G4" s="87" t="s">
        <v>472</v>
      </c>
      <c r="I4" s="86" t="s">
        <v>473</v>
      </c>
      <c r="J4" s="86" t="s">
        <v>472</v>
      </c>
      <c r="O4" s="86" t="s">
        <v>472</v>
      </c>
    </row>
    <row r="5" spans="1:16" s="84" customFormat="1" ht="13.8" x14ac:dyDescent="0.3">
      <c r="C5" s="88">
        <f>AVERAGE(C2:C3)</f>
        <v>0.4439878251967263</v>
      </c>
      <c r="F5" s="89">
        <f>SUM(F2:F3)</f>
        <v>2398</v>
      </c>
      <c r="G5" s="89">
        <f>SUM(G2:G3)</f>
        <v>11911.25</v>
      </c>
      <c r="I5" s="88">
        <f>AVERAGE(I2:I3)</f>
        <v>0.75</v>
      </c>
      <c r="J5" s="89">
        <f>SUM(J2:J3)</f>
        <v>2443.75</v>
      </c>
      <c r="O5" s="89">
        <f>SUM(O2:O3)</f>
        <v>259</v>
      </c>
    </row>
  </sheetData>
  <conditionalFormatting sqref="J2:K3 M2:N3 B2:B3">
    <cfRule type="containsText" dxfId="65" priority="30" operator="containsText" text="CALDAIE MURALI">
      <formula>NOT(ISERROR(SEARCH("CALDAIE MURALI",B2)))</formula>
    </cfRule>
    <cfRule type="containsText" dxfId="64" priority="31" operator="containsText" text="METANO">
      <formula>NOT(ISERROR(SEARCH("METANO",B2)))</formula>
    </cfRule>
    <cfRule type="containsText" dxfId="63" priority="32" operator="containsText" text="TELERISCALDAMENTO">
      <formula>NOT(ISERROR(SEARCH("TELERISCALDAMENTO",B2)))</formula>
    </cfRule>
    <cfRule type="containsText" dxfId="62" priority="33" operator="containsText" text="CENTRALIZZATO">
      <formula>NOT(ISERROR(SEARCH("CENTRALIZZATO",B2)))</formula>
    </cfRule>
  </conditionalFormatting>
  <conditionalFormatting sqref="A2">
    <cfRule type="containsText" dxfId="61" priority="26" operator="containsText" text="CALDAIE MURALI">
      <formula>NOT(ISERROR(SEARCH("CALDAIE MURALI",A2)))</formula>
    </cfRule>
    <cfRule type="containsText" dxfId="60" priority="27" operator="containsText" text="METANO">
      <formula>NOT(ISERROR(SEARCH("METANO",A2)))</formula>
    </cfRule>
    <cfRule type="containsText" dxfId="59" priority="28" operator="containsText" text="TELERISCALDAMENTO">
      <formula>NOT(ISERROR(SEARCH("TELERISCALDAMENTO",A2)))</formula>
    </cfRule>
    <cfRule type="containsText" dxfId="58" priority="29" operator="containsText" text="CENTRALIZZATO">
      <formula>NOT(ISERROR(SEARCH("CENTRALIZZATO",A2)))</formula>
    </cfRule>
  </conditionalFormatting>
  <conditionalFormatting sqref="E2:H3">
    <cfRule type="containsText" dxfId="57" priority="22" operator="containsText" text="CALDAIE MURALI">
      <formula>NOT(ISERROR(SEARCH("CALDAIE MURALI",E2)))</formula>
    </cfRule>
    <cfRule type="containsText" dxfId="56" priority="23" operator="containsText" text="METANO">
      <formula>NOT(ISERROR(SEARCH("METANO",E2)))</formula>
    </cfRule>
    <cfRule type="containsText" dxfId="55" priority="24" operator="containsText" text="TELERISCALDAMENTO">
      <formula>NOT(ISERROR(SEARCH("TELERISCALDAMENTO",E2)))</formula>
    </cfRule>
    <cfRule type="containsText" dxfId="54" priority="25" operator="containsText" text="CENTRALIZZATO">
      <formula>NOT(ISERROR(SEARCH("CENTRALIZZATO",E2)))</formula>
    </cfRule>
  </conditionalFormatting>
  <conditionalFormatting sqref="L2:L3">
    <cfRule type="containsText" dxfId="53" priority="18" operator="containsText" text="CALDAIE MURALI">
      <formula>NOT(ISERROR(SEARCH("CALDAIE MURALI",L2)))</formula>
    </cfRule>
    <cfRule type="containsText" dxfId="52" priority="19" operator="containsText" text="METANO">
      <formula>NOT(ISERROR(SEARCH("METANO",L2)))</formula>
    </cfRule>
    <cfRule type="containsText" dxfId="51" priority="20" operator="containsText" text="TELERISCALDAMENTO">
      <formula>NOT(ISERROR(SEARCH("TELERISCALDAMENTO",L2)))</formula>
    </cfRule>
    <cfRule type="containsText" dxfId="50" priority="21" operator="containsText" text="CENTRALIZZATO">
      <formula>NOT(ISERROR(SEARCH("CENTRALIZZATO",L2)))</formula>
    </cfRule>
  </conditionalFormatting>
  <conditionalFormatting sqref="A3">
    <cfRule type="containsText" dxfId="49" priority="14" operator="containsText" text="CALDAIE MURALI">
      <formula>NOT(ISERROR(SEARCH("CALDAIE MURALI",A3)))</formula>
    </cfRule>
    <cfRule type="containsText" dxfId="48" priority="15" operator="containsText" text="METANO">
      <formula>NOT(ISERROR(SEARCH("METANO",A3)))</formula>
    </cfRule>
    <cfRule type="containsText" dxfId="47" priority="16" operator="containsText" text="TELERISCALDAMENTO">
      <formula>NOT(ISERROR(SEARCH("TELERISCALDAMENTO",A3)))</formula>
    </cfRule>
    <cfRule type="containsText" dxfId="46" priority="17" operator="containsText" text="CENTRALIZZATO">
      <formula>NOT(ISERROR(SEARCH("CENTRALIZZATO",A3)))</formula>
    </cfRule>
  </conditionalFormatting>
  <conditionalFormatting sqref="C2:C3">
    <cfRule type="cellIs" dxfId="45" priority="34" operator="lessThanOrEqual">
      <formula>#REF!</formula>
    </cfRule>
    <cfRule type="cellIs" dxfId="44" priority="35" operator="greaterThan">
      <formula>#REF!</formula>
    </cfRule>
  </conditionalFormatting>
  <conditionalFormatting sqref="M1:O1 E1:J1">
    <cfRule type="containsText" dxfId="43" priority="10" operator="containsText" text="CALDAIE MURALI">
      <formula>NOT(ISERROR(SEARCH("CALDAIE MURALI",E1)))</formula>
    </cfRule>
    <cfRule type="containsText" dxfId="42" priority="11" operator="containsText" text="METANO">
      <formula>NOT(ISERROR(SEARCH("METANO",E1)))</formula>
    </cfRule>
    <cfRule type="containsText" dxfId="41" priority="12" operator="containsText" text="TELERISCALDAMENTO">
      <formula>NOT(ISERROR(SEARCH("TELERISCALDAMENTO",E1)))</formula>
    </cfRule>
    <cfRule type="containsText" dxfId="40" priority="13" operator="containsText" text="CENTRALIZZATO">
      <formula>NOT(ISERROR(SEARCH("CENTRALIZZATO",E1)))</formula>
    </cfRule>
  </conditionalFormatting>
  <conditionalFormatting sqref="D1">
    <cfRule type="containsText" dxfId="39" priority="6" operator="containsText" text="CALDAIE MURALI">
      <formula>NOT(ISERROR(SEARCH("CALDAIE MURALI",D1)))</formula>
    </cfRule>
    <cfRule type="containsText" dxfId="38" priority="7" operator="containsText" text="METANO">
      <formula>NOT(ISERROR(SEARCH("METANO",D1)))</formula>
    </cfRule>
    <cfRule type="containsText" dxfId="37" priority="8" operator="containsText" text="TELERISCALDAMENTO">
      <formula>NOT(ISERROR(SEARCH("TELERISCALDAMENTO",D1)))</formula>
    </cfRule>
    <cfRule type="containsText" dxfId="36" priority="9" operator="containsText" text="CENTRALIZZATO">
      <formula>NOT(ISERROR(SEARCH("CENTRALIZZATO",D1)))</formula>
    </cfRule>
  </conditionalFormatting>
  <conditionalFormatting sqref="K1:L1">
    <cfRule type="containsText" dxfId="35" priority="2" operator="containsText" text="CALDAIE MURALI">
      <formula>NOT(ISERROR(SEARCH("CALDAIE MURALI",K1)))</formula>
    </cfRule>
    <cfRule type="containsText" dxfId="34" priority="3" operator="containsText" text="METANO">
      <formula>NOT(ISERROR(SEARCH("METANO",K1)))</formula>
    </cfRule>
    <cfRule type="containsText" dxfId="33" priority="4" operator="containsText" text="TELERISCALDAMENTO">
      <formula>NOT(ISERROR(SEARCH("TELERISCALDAMENTO",K1)))</formula>
    </cfRule>
    <cfRule type="containsText" dxfId="32" priority="5" operator="containsText" text="CENTRALIZZATO">
      <formula>NOT(ISERROR(SEARCH("CENTRALIZZATO",K1)))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38776B51-34B3-4DD6-AFD3-95810119E067}">
            <xm:f>NOT(ISERROR(SEARCH(#REF!,O1)))</xm:f>
            <xm:f>#REF!</xm:f>
            <x14:dxf>
              <fill>
                <patternFill>
                  <bgColor theme="2" tint="-9.9948118533890809E-2"/>
                </patternFill>
              </fill>
            </x14:dxf>
          </x14:cfRule>
          <xm:sqref>O1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325A8-FD5D-4A00-8413-7E39A3897C9C}">
  <sheetPr>
    <tabColor theme="9" tint="-0.249977111117893"/>
  </sheetPr>
  <dimension ref="A1:P4"/>
  <sheetViews>
    <sheetView workbookViewId="0">
      <selection activeCell="C8" sqref="C8"/>
    </sheetView>
  </sheetViews>
  <sheetFormatPr defaultRowHeight="14.4" x14ac:dyDescent="0.3"/>
  <cols>
    <col min="2" max="2" width="36" bestFit="1" customWidth="1"/>
  </cols>
  <sheetData>
    <row r="1" spans="1:16" s="80" customFormat="1" ht="36" x14ac:dyDescent="0.25">
      <c r="B1" s="3" t="s">
        <v>7</v>
      </c>
      <c r="C1" s="74" t="s">
        <v>71</v>
      </c>
      <c r="D1" s="73" t="s">
        <v>72</v>
      </c>
      <c r="E1" s="48" t="s">
        <v>73</v>
      </c>
      <c r="F1" s="48" t="s">
        <v>74</v>
      </c>
      <c r="G1" s="46" t="s">
        <v>475</v>
      </c>
      <c r="H1" s="46" t="s">
        <v>75</v>
      </c>
      <c r="I1" s="47" t="s">
        <v>76</v>
      </c>
      <c r="J1" s="48" t="s">
        <v>77</v>
      </c>
      <c r="K1" s="49" t="s">
        <v>78</v>
      </c>
      <c r="L1" s="49" t="s">
        <v>79</v>
      </c>
      <c r="M1" s="45" t="s">
        <v>80</v>
      </c>
      <c r="N1" s="45" t="s">
        <v>81</v>
      </c>
      <c r="O1" s="45" t="s">
        <v>82</v>
      </c>
    </row>
    <row r="2" spans="1:16" s="80" customFormat="1" ht="13.8" x14ac:dyDescent="0.25">
      <c r="A2" s="59" t="s">
        <v>301</v>
      </c>
      <c r="B2" s="51" t="s">
        <v>302</v>
      </c>
      <c r="C2" s="75">
        <v>0.32109243593955322</v>
      </c>
      <c r="D2" s="52">
        <v>2006</v>
      </c>
      <c r="E2" s="53">
        <v>100</v>
      </c>
      <c r="F2" s="54">
        <v>367</v>
      </c>
      <c r="G2" s="55">
        <v>2067.1062499999998</v>
      </c>
      <c r="H2" s="55">
        <v>0.35905965061278416</v>
      </c>
      <c r="I2" s="55">
        <v>0.75</v>
      </c>
      <c r="J2" s="55">
        <v>242.89374999999998</v>
      </c>
      <c r="K2" s="56">
        <v>176</v>
      </c>
      <c r="L2" s="55">
        <v>1.3800781249999998</v>
      </c>
      <c r="M2" s="52" t="s">
        <v>85</v>
      </c>
      <c r="N2" s="52" t="s">
        <v>85</v>
      </c>
      <c r="O2" s="14">
        <v>30</v>
      </c>
      <c r="P2" s="71"/>
    </row>
    <row r="3" spans="1:16" s="84" customFormat="1" ht="13.8" x14ac:dyDescent="0.3">
      <c r="C3" s="85" t="s">
        <v>473</v>
      </c>
      <c r="F3" s="86" t="s">
        <v>472</v>
      </c>
      <c r="G3" s="87" t="s">
        <v>472</v>
      </c>
      <c r="I3" s="86" t="s">
        <v>473</v>
      </c>
      <c r="J3" s="86" t="s">
        <v>472</v>
      </c>
      <c r="O3" s="86" t="s">
        <v>472</v>
      </c>
    </row>
    <row r="4" spans="1:16" s="84" customFormat="1" ht="13.8" x14ac:dyDescent="0.3">
      <c r="C4" s="88">
        <f>AVERAGE(C2)</f>
        <v>0.32109243593955322</v>
      </c>
      <c r="F4" s="89">
        <f>SUM(F2)</f>
        <v>367</v>
      </c>
      <c r="G4" s="89">
        <f>SUM(G2)</f>
        <v>2067.1062499999998</v>
      </c>
      <c r="I4" s="88">
        <f>AVERAGE(I2)</f>
        <v>0.75</v>
      </c>
      <c r="J4" s="89">
        <f>SUM(J2)</f>
        <v>242.89374999999998</v>
      </c>
      <c r="O4" s="89">
        <f>SUM(O2)</f>
        <v>30</v>
      </c>
    </row>
  </sheetData>
  <conditionalFormatting sqref="M2:N2 J2:K2 B2">
    <cfRule type="containsText" dxfId="30" priority="26" operator="containsText" text="CALDAIE MURALI">
      <formula>NOT(ISERROR(SEARCH("CALDAIE MURALI",B2)))</formula>
    </cfRule>
    <cfRule type="containsText" dxfId="29" priority="27" operator="containsText" text="METANO">
      <formula>NOT(ISERROR(SEARCH("METANO",B2)))</formula>
    </cfRule>
    <cfRule type="containsText" dxfId="28" priority="28" operator="containsText" text="TELERISCALDAMENTO">
      <formula>NOT(ISERROR(SEARCH("TELERISCALDAMENTO",B2)))</formula>
    </cfRule>
    <cfRule type="containsText" dxfId="27" priority="29" operator="containsText" text="CENTRALIZZATO">
      <formula>NOT(ISERROR(SEARCH("CENTRALIZZATO",B2)))</formula>
    </cfRule>
  </conditionalFormatting>
  <conditionalFormatting sqref="A2">
    <cfRule type="containsText" dxfId="26" priority="22" operator="containsText" text="CALDAIE MURALI">
      <formula>NOT(ISERROR(SEARCH("CALDAIE MURALI",A2)))</formula>
    </cfRule>
    <cfRule type="containsText" dxfId="25" priority="23" operator="containsText" text="METANO">
      <formula>NOT(ISERROR(SEARCH("METANO",A2)))</formula>
    </cfRule>
    <cfRule type="containsText" dxfId="24" priority="24" operator="containsText" text="TELERISCALDAMENTO">
      <formula>NOT(ISERROR(SEARCH("TELERISCALDAMENTO",A2)))</formula>
    </cfRule>
    <cfRule type="containsText" dxfId="23" priority="25" operator="containsText" text="CENTRALIZZATO">
      <formula>NOT(ISERROR(SEARCH("CENTRALIZZATO",A2)))</formula>
    </cfRule>
  </conditionalFormatting>
  <conditionalFormatting sqref="E2:H2">
    <cfRule type="containsText" dxfId="22" priority="18" operator="containsText" text="CALDAIE MURALI">
      <formula>NOT(ISERROR(SEARCH("CALDAIE MURALI",E2)))</formula>
    </cfRule>
    <cfRule type="containsText" dxfId="21" priority="19" operator="containsText" text="METANO">
      <formula>NOT(ISERROR(SEARCH("METANO",E2)))</formula>
    </cfRule>
    <cfRule type="containsText" dxfId="20" priority="20" operator="containsText" text="TELERISCALDAMENTO">
      <formula>NOT(ISERROR(SEARCH("TELERISCALDAMENTO",E2)))</formula>
    </cfRule>
    <cfRule type="containsText" dxfId="19" priority="21" operator="containsText" text="CENTRALIZZATO">
      <formula>NOT(ISERROR(SEARCH("CENTRALIZZATO",E2)))</formula>
    </cfRule>
  </conditionalFormatting>
  <conditionalFormatting sqref="L2">
    <cfRule type="containsText" dxfId="18" priority="14" operator="containsText" text="CALDAIE MURALI">
      <formula>NOT(ISERROR(SEARCH("CALDAIE MURALI",L2)))</formula>
    </cfRule>
    <cfRule type="containsText" dxfId="17" priority="15" operator="containsText" text="METANO">
      <formula>NOT(ISERROR(SEARCH("METANO",L2)))</formula>
    </cfRule>
    <cfRule type="containsText" dxfId="16" priority="16" operator="containsText" text="TELERISCALDAMENTO">
      <formula>NOT(ISERROR(SEARCH("TELERISCALDAMENTO",L2)))</formula>
    </cfRule>
    <cfRule type="containsText" dxfId="15" priority="17" operator="containsText" text="CENTRALIZZATO">
      <formula>NOT(ISERROR(SEARCH("CENTRALIZZATO",L2)))</formula>
    </cfRule>
  </conditionalFormatting>
  <conditionalFormatting sqref="C2">
    <cfRule type="cellIs" dxfId="14" priority="30" operator="lessThanOrEqual">
      <formula>#REF!</formula>
    </cfRule>
    <cfRule type="cellIs" dxfId="13" priority="31" operator="greaterThan">
      <formula>#REF!</formula>
    </cfRule>
  </conditionalFormatting>
  <conditionalFormatting sqref="M1:O1 E1:J1">
    <cfRule type="containsText" dxfId="12" priority="10" operator="containsText" text="CALDAIE MURALI">
      <formula>NOT(ISERROR(SEARCH("CALDAIE MURALI",E1)))</formula>
    </cfRule>
    <cfRule type="containsText" dxfId="11" priority="11" operator="containsText" text="METANO">
      <formula>NOT(ISERROR(SEARCH("METANO",E1)))</formula>
    </cfRule>
    <cfRule type="containsText" dxfId="10" priority="12" operator="containsText" text="TELERISCALDAMENTO">
      <formula>NOT(ISERROR(SEARCH("TELERISCALDAMENTO",E1)))</formula>
    </cfRule>
    <cfRule type="containsText" dxfId="9" priority="13" operator="containsText" text="CENTRALIZZATO">
      <formula>NOT(ISERROR(SEARCH("CENTRALIZZATO",E1)))</formula>
    </cfRule>
  </conditionalFormatting>
  <conditionalFormatting sqref="D1">
    <cfRule type="containsText" dxfId="8" priority="6" operator="containsText" text="CALDAIE MURALI">
      <formula>NOT(ISERROR(SEARCH("CALDAIE MURALI",D1)))</formula>
    </cfRule>
    <cfRule type="containsText" dxfId="7" priority="7" operator="containsText" text="METANO">
      <formula>NOT(ISERROR(SEARCH("METANO",D1)))</formula>
    </cfRule>
    <cfRule type="containsText" dxfId="6" priority="8" operator="containsText" text="TELERISCALDAMENTO">
      <formula>NOT(ISERROR(SEARCH("TELERISCALDAMENTO",D1)))</formula>
    </cfRule>
    <cfRule type="containsText" dxfId="5" priority="9" operator="containsText" text="CENTRALIZZATO">
      <formula>NOT(ISERROR(SEARCH("CENTRALIZZATO",D1)))</formula>
    </cfRule>
  </conditionalFormatting>
  <conditionalFormatting sqref="K1:L1">
    <cfRule type="containsText" dxfId="4" priority="2" operator="containsText" text="CALDAIE MURALI">
      <formula>NOT(ISERROR(SEARCH("CALDAIE MURALI",K1)))</formula>
    </cfRule>
    <cfRule type="containsText" dxfId="3" priority="3" operator="containsText" text="METANO">
      <formula>NOT(ISERROR(SEARCH("METANO",K1)))</formula>
    </cfRule>
    <cfRule type="containsText" dxfId="2" priority="4" operator="containsText" text="TELERISCALDAMENTO">
      <formula>NOT(ISERROR(SEARCH("TELERISCALDAMENTO",K1)))</formula>
    </cfRule>
    <cfRule type="containsText" dxfId="1" priority="5" operator="containsText" text="CENTRALIZZATO">
      <formula>NOT(ISERROR(SEARCH("CENTRALIZZATO",K1)))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569EFAD8-F2E8-41BC-9ACB-76A084F63E74}">
            <xm:f>NOT(ISERROR(SEARCH(#REF!,O1)))</xm:f>
            <xm:f>#REF!</xm:f>
            <x14:dxf>
              <fill>
                <patternFill>
                  <bgColor theme="2" tint="-9.9948118533890809E-2"/>
                </patternFill>
              </fill>
            </x14:dxf>
          </x14:cfRule>
          <xm:sqref>O1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D8971-BD5B-4526-8249-C298971B8FC5}">
  <dimension ref="A1:Y68"/>
  <sheetViews>
    <sheetView topLeftCell="A46" workbookViewId="0">
      <selection activeCell="C57" sqref="C57:C59"/>
    </sheetView>
  </sheetViews>
  <sheetFormatPr defaultRowHeight="14.4" x14ac:dyDescent="0.3"/>
  <cols>
    <col min="1" max="1" width="18.109375" customWidth="1"/>
    <col min="2" max="2" width="15.44140625" bestFit="1" customWidth="1"/>
    <col min="3" max="6" width="16.6640625" bestFit="1" customWidth="1"/>
    <col min="7" max="7" width="15.6640625" customWidth="1"/>
    <col min="8" max="8" width="15.33203125" customWidth="1"/>
    <col min="9" max="9" width="14.5546875" customWidth="1"/>
    <col min="10" max="10" width="15.33203125" customWidth="1"/>
    <col min="11" max="11" width="15.88671875" customWidth="1"/>
    <col min="12" max="12" width="16.5546875" customWidth="1"/>
    <col min="13" max="13" width="15.77734375" customWidth="1"/>
    <col min="14" max="14" width="18.21875" customWidth="1"/>
    <col min="15" max="15" width="17.6640625" customWidth="1"/>
    <col min="16" max="16" width="19.77734375" customWidth="1"/>
    <col min="17" max="17" width="16.21875" customWidth="1"/>
    <col min="18" max="18" width="25.88671875" customWidth="1"/>
    <col min="19" max="19" width="15.44140625" bestFit="1" customWidth="1"/>
    <col min="20" max="23" width="16.6640625" bestFit="1" customWidth="1"/>
    <col min="24" max="24" width="15.44140625" bestFit="1" customWidth="1"/>
    <col min="25" max="25" width="13.6640625" bestFit="1" customWidth="1"/>
  </cols>
  <sheetData>
    <row r="1" spans="1:25" ht="43.2" customHeight="1" thickBot="1" x14ac:dyDescent="0.35">
      <c r="A1" s="131" t="s">
        <v>485</v>
      </c>
      <c r="B1" s="128" t="s">
        <v>484</v>
      </c>
      <c r="C1" s="128" t="s">
        <v>483</v>
      </c>
      <c r="D1" s="128" t="s">
        <v>74</v>
      </c>
      <c r="E1" s="129" t="s">
        <v>478</v>
      </c>
      <c r="F1" s="129" t="s">
        <v>479</v>
      </c>
      <c r="G1" s="129" t="s">
        <v>480</v>
      </c>
      <c r="H1" s="129" t="s">
        <v>481</v>
      </c>
      <c r="I1" s="128" t="s">
        <v>468</v>
      </c>
      <c r="J1" s="129" t="s">
        <v>476</v>
      </c>
      <c r="K1" s="128" t="s">
        <v>482</v>
      </c>
      <c r="L1" s="129" t="s">
        <v>477</v>
      </c>
      <c r="M1" s="147" t="s">
        <v>469</v>
      </c>
      <c r="N1" s="175"/>
      <c r="O1" s="152" t="s">
        <v>494</v>
      </c>
      <c r="P1" s="153" t="s">
        <v>495</v>
      </c>
    </row>
    <row r="2" spans="1:25" ht="15" thickBot="1" x14ac:dyDescent="0.35">
      <c r="A2" s="102" t="s">
        <v>2</v>
      </c>
      <c r="B2" s="116"/>
      <c r="C2" s="117"/>
      <c r="D2" s="117"/>
      <c r="E2" s="127" t="s">
        <v>487</v>
      </c>
      <c r="F2" s="127" t="s">
        <v>487</v>
      </c>
      <c r="G2" s="127" t="s">
        <v>487</v>
      </c>
      <c r="H2" s="127" t="s">
        <v>487</v>
      </c>
      <c r="I2" s="117"/>
      <c r="J2" s="127" t="s">
        <v>487</v>
      </c>
      <c r="K2" s="117"/>
      <c r="L2" s="127" t="s">
        <v>487</v>
      </c>
      <c r="M2" s="117"/>
      <c r="N2" s="162"/>
      <c r="O2" s="148"/>
      <c r="P2" s="163"/>
      <c r="R2" s="102" t="s">
        <v>2</v>
      </c>
      <c r="S2" s="168" t="s">
        <v>0</v>
      </c>
      <c r="T2" s="169" t="s">
        <v>1</v>
      </c>
    </row>
    <row r="3" spans="1:25" x14ac:dyDescent="0.3">
      <c r="A3" s="97" t="s">
        <v>0</v>
      </c>
      <c r="B3" s="104">
        <v>0.5</v>
      </c>
      <c r="C3" s="98">
        <v>0.55000000000000004</v>
      </c>
      <c r="D3" s="99">
        <v>1280</v>
      </c>
      <c r="E3" s="133"/>
      <c r="F3" s="133">
        <f>6.59*D3</f>
        <v>8435.2000000000007</v>
      </c>
      <c r="G3" s="133">
        <f>9.06*D3</f>
        <v>11596.800000000001</v>
      </c>
      <c r="H3" s="133"/>
      <c r="I3" s="100">
        <v>3238</v>
      </c>
      <c r="J3" s="133">
        <f>9.06*I3</f>
        <v>29336.280000000002</v>
      </c>
      <c r="K3" s="99">
        <v>339</v>
      </c>
      <c r="L3" s="133">
        <f>(304.9+58.08)*K3</f>
        <v>123050.21999999999</v>
      </c>
      <c r="M3" s="143">
        <v>44</v>
      </c>
      <c r="N3" s="162"/>
      <c r="O3" s="157">
        <f>SUM(F3+G3+J3)</f>
        <v>49368.28</v>
      </c>
      <c r="P3" s="165">
        <f>SUM(L3+0)</f>
        <v>123050.21999999999</v>
      </c>
      <c r="R3" s="177" t="s">
        <v>496</v>
      </c>
      <c r="S3" s="178">
        <v>49368.28</v>
      </c>
      <c r="T3" s="179">
        <v>182540.4</v>
      </c>
    </row>
    <row r="4" spans="1:25" ht="15" thickBot="1" x14ac:dyDescent="0.35">
      <c r="A4" s="103" t="s">
        <v>1</v>
      </c>
      <c r="B4" s="122">
        <v>0.5</v>
      </c>
      <c r="C4" s="123">
        <v>0.71</v>
      </c>
      <c r="D4" s="124">
        <v>4908</v>
      </c>
      <c r="E4" s="138"/>
      <c r="F4" s="133">
        <f>6.59*D4</f>
        <v>32343.719999999998</v>
      </c>
      <c r="G4" s="138">
        <f>9.06*D4</f>
        <v>44466.48</v>
      </c>
      <c r="H4" s="133"/>
      <c r="I4" s="125">
        <v>11670</v>
      </c>
      <c r="J4" s="133">
        <f>9.06*I4</f>
        <v>105730.20000000001</v>
      </c>
      <c r="K4" s="124">
        <v>1952</v>
      </c>
      <c r="L4" s="133">
        <f>(304.9+58.08)*K4</f>
        <v>708536.96</v>
      </c>
      <c r="M4" s="156">
        <v>153</v>
      </c>
      <c r="N4" s="162"/>
      <c r="O4" s="157">
        <f>SUM(F4+G4+J4)</f>
        <v>182540.40000000002</v>
      </c>
      <c r="P4" s="165">
        <f>SUM(L4+0)</f>
        <v>708536.96</v>
      </c>
      <c r="R4" s="181" t="s">
        <v>495</v>
      </c>
      <c r="S4" s="182">
        <v>123050.22</v>
      </c>
      <c r="T4" s="180">
        <v>708536.96</v>
      </c>
    </row>
    <row r="5" spans="1:25" ht="15" thickBot="1" x14ac:dyDescent="0.35">
      <c r="A5" s="20" t="s">
        <v>474</v>
      </c>
      <c r="B5" s="119"/>
      <c r="C5" s="120"/>
      <c r="D5" s="120"/>
      <c r="E5" s="127" t="s">
        <v>487</v>
      </c>
      <c r="F5" s="127" t="s">
        <v>487</v>
      </c>
      <c r="G5" s="127" t="s">
        <v>487</v>
      </c>
      <c r="H5" s="127" t="s">
        <v>487</v>
      </c>
      <c r="I5" s="117"/>
      <c r="J5" s="127" t="s">
        <v>487</v>
      </c>
      <c r="K5" s="117"/>
      <c r="L5" s="127" t="s">
        <v>487</v>
      </c>
      <c r="M5" s="120"/>
      <c r="N5" s="162"/>
      <c r="O5" s="148"/>
      <c r="P5" s="163"/>
    </row>
    <row r="6" spans="1:25" ht="15" thickBot="1" x14ac:dyDescent="0.35">
      <c r="A6" s="434" t="s">
        <v>470</v>
      </c>
      <c r="B6" s="98">
        <v>0.41</v>
      </c>
      <c r="C6" s="98">
        <v>0.65</v>
      </c>
      <c r="D6" s="99">
        <v>1032</v>
      </c>
      <c r="E6" s="133"/>
      <c r="F6" s="133">
        <f>7.32*D6</f>
        <v>7554.2400000000007</v>
      </c>
      <c r="G6" s="139">
        <f t="shared" ref="G6" si="0">10.34*D6</f>
        <v>10670.88</v>
      </c>
      <c r="H6" s="139"/>
      <c r="I6" s="137">
        <v>2932</v>
      </c>
      <c r="J6" s="133">
        <f t="shared" ref="J6:J7" si="1">(113.46+6.47)*I6</f>
        <v>351634.75999999995</v>
      </c>
      <c r="K6" s="137">
        <v>715</v>
      </c>
      <c r="L6" s="133">
        <f t="shared" ref="L6:L7" si="2">(283.74+88.82)*K6</f>
        <v>266380.40000000002</v>
      </c>
      <c r="M6" s="143">
        <v>31</v>
      </c>
      <c r="N6" s="172"/>
      <c r="O6" s="157">
        <f>SUM(F6+G6+J6)</f>
        <v>369859.87999999995</v>
      </c>
      <c r="P6" s="165">
        <f>SUM(L6+0)</f>
        <v>266380.40000000002</v>
      </c>
    </row>
    <row r="7" spans="1:25" ht="15" thickBot="1" x14ac:dyDescent="0.35">
      <c r="A7" s="434"/>
      <c r="B7" s="98">
        <v>0.51</v>
      </c>
      <c r="C7" s="98">
        <v>0.72</v>
      </c>
      <c r="D7" s="99">
        <v>4920</v>
      </c>
      <c r="E7" s="133">
        <f>13.78*D7</f>
        <v>67797.599999999991</v>
      </c>
      <c r="F7" s="136"/>
      <c r="G7" s="133">
        <f>10.34*D7</f>
        <v>50872.800000000003</v>
      </c>
      <c r="H7" s="133"/>
      <c r="I7" s="137">
        <v>15919</v>
      </c>
      <c r="J7" s="133">
        <f t="shared" si="1"/>
        <v>1909165.67</v>
      </c>
      <c r="K7" s="137">
        <v>2574</v>
      </c>
      <c r="L7" s="133">
        <f t="shared" si="2"/>
        <v>958969.44000000006</v>
      </c>
      <c r="M7" s="143">
        <v>204</v>
      </c>
      <c r="N7" s="172"/>
      <c r="O7" s="157">
        <f>SUM(E7+G7+J7)</f>
        <v>2027836.0699999998</v>
      </c>
      <c r="P7" s="165">
        <f t="shared" ref="P7:P19" si="3">SUM(L7+0)</f>
        <v>958969.44000000006</v>
      </c>
      <c r="R7" s="189" t="s">
        <v>474</v>
      </c>
      <c r="S7" s="197" t="s">
        <v>470</v>
      </c>
      <c r="T7" s="198" t="s">
        <v>3</v>
      </c>
      <c r="U7" s="199" t="s">
        <v>4</v>
      </c>
      <c r="V7" s="199" t="s">
        <v>0</v>
      </c>
      <c r="W7" s="199" t="s">
        <v>1</v>
      </c>
      <c r="X7" s="199" t="s">
        <v>5</v>
      </c>
      <c r="Y7" s="200" t="s">
        <v>7</v>
      </c>
    </row>
    <row r="8" spans="1:25" ht="15" thickBot="1" x14ac:dyDescent="0.35">
      <c r="A8" s="436" t="s">
        <v>3</v>
      </c>
      <c r="B8" s="52">
        <v>0.44</v>
      </c>
      <c r="C8" s="52">
        <v>0.61</v>
      </c>
      <c r="D8" s="56">
        <v>22753</v>
      </c>
      <c r="E8" s="133"/>
      <c r="F8" s="133">
        <f>8.32*D8</f>
        <v>189304.96000000002</v>
      </c>
      <c r="G8" s="133">
        <f t="shared" ref="G8:G14" si="4">9.06*D8</f>
        <v>206142.18000000002</v>
      </c>
      <c r="H8" s="133"/>
      <c r="I8" s="72">
        <v>65874</v>
      </c>
      <c r="J8" s="141">
        <f>9.06*I8</f>
        <v>596818.44000000006</v>
      </c>
      <c r="K8" s="56">
        <v>10205</v>
      </c>
      <c r="L8" s="133">
        <f>(283.74+88.82)*K8</f>
        <v>3801974.8</v>
      </c>
      <c r="M8" s="144">
        <v>1286</v>
      </c>
      <c r="N8" s="173"/>
      <c r="O8" s="157">
        <f>SUM(F8+G8+J8)</f>
        <v>992265.58000000007</v>
      </c>
      <c r="P8" s="165">
        <f t="shared" si="3"/>
        <v>3801974.8</v>
      </c>
      <c r="R8" s="201" t="s">
        <v>496</v>
      </c>
      <c r="S8" s="207">
        <f>SUM(O6+O7)</f>
        <v>2397695.9499999997</v>
      </c>
      <c r="T8" s="207">
        <f>SUM(O8+O9+O10)</f>
        <v>1750388.79</v>
      </c>
      <c r="U8" s="207">
        <f>SUM(O11+O12)</f>
        <v>1729099.2600000002</v>
      </c>
      <c r="V8" s="207">
        <f>SUM(O13)</f>
        <v>1353455.52</v>
      </c>
      <c r="W8" s="207">
        <f>SUM(O14+O15+O16+O17)</f>
        <v>1348076.2200000002</v>
      </c>
      <c r="X8" s="207">
        <f>SUM(O18)</f>
        <v>125611.08</v>
      </c>
      <c r="Y8" s="207">
        <f>SUM(O19)</f>
        <v>10306.14</v>
      </c>
    </row>
    <row r="9" spans="1:25" ht="15" thickBot="1" x14ac:dyDescent="0.35">
      <c r="A9" s="437"/>
      <c r="B9" s="52">
        <v>0.55000000000000004</v>
      </c>
      <c r="C9" s="52">
        <v>0.73</v>
      </c>
      <c r="D9" s="56">
        <v>6654</v>
      </c>
      <c r="E9" s="139">
        <f>13.78*D9</f>
        <v>91692.12</v>
      </c>
      <c r="F9" s="136"/>
      <c r="G9" s="133">
        <f t="shared" si="4"/>
        <v>60285.240000000005</v>
      </c>
      <c r="H9" s="139"/>
      <c r="I9" s="137">
        <v>24117</v>
      </c>
      <c r="J9" s="141">
        <f>9.06*I9</f>
        <v>218500.02000000002</v>
      </c>
      <c r="K9" s="137">
        <v>3564</v>
      </c>
      <c r="L9" s="133">
        <f t="shared" ref="L9:L10" si="5">(283.74+88.82)*K9</f>
        <v>1327803.8400000001</v>
      </c>
      <c r="M9" s="144">
        <v>449</v>
      </c>
      <c r="N9" s="173"/>
      <c r="O9" s="157">
        <f>SUM(E9+G9+J9)</f>
        <v>370477.38</v>
      </c>
      <c r="P9" s="165">
        <f t="shared" si="3"/>
        <v>1327803.8400000001</v>
      </c>
      <c r="R9" s="204" t="s">
        <v>495</v>
      </c>
      <c r="S9" s="207">
        <f>SUM(P6+P7)</f>
        <v>1225349.8400000001</v>
      </c>
      <c r="T9" s="207">
        <f>SUM(P8+P9+P10)</f>
        <v>5319784.2399999993</v>
      </c>
      <c r="U9" s="207">
        <f>SUM(P11+P12)</f>
        <v>5502838.3200000003</v>
      </c>
      <c r="V9" s="207">
        <f>SUM(P13)</f>
        <v>5035412.459999999</v>
      </c>
      <c r="W9" s="207">
        <f>SUM(P14+P15+P16+P17)</f>
        <v>6518358.8399999989</v>
      </c>
      <c r="X9" s="207">
        <f>SUM(P18)</f>
        <v>748743.84000000008</v>
      </c>
      <c r="Y9" s="207">
        <f>SUM(P19)</f>
        <v>87232.139999999985</v>
      </c>
    </row>
    <row r="10" spans="1:25" ht="15" thickBot="1" x14ac:dyDescent="0.35">
      <c r="A10" s="438"/>
      <c r="B10" s="52">
        <v>0.55000000000000004</v>
      </c>
      <c r="C10" s="52">
        <v>0.75</v>
      </c>
      <c r="D10" s="140">
        <v>823</v>
      </c>
      <c r="E10" s="140"/>
      <c r="F10" s="133">
        <f>8.32*D10</f>
        <v>6847.3600000000006</v>
      </c>
      <c r="G10" s="133">
        <f t="shared" si="4"/>
        <v>7456.38</v>
      </c>
      <c r="H10" s="140"/>
      <c r="I10" s="140">
        <v>3113</v>
      </c>
      <c r="J10" s="142">
        <f>(113.46+6.47)*I10</f>
        <v>373342.08999999997</v>
      </c>
      <c r="K10" s="140">
        <v>510</v>
      </c>
      <c r="L10" s="133">
        <f t="shared" si="5"/>
        <v>190005.6</v>
      </c>
      <c r="M10" s="144">
        <v>34</v>
      </c>
      <c r="N10" s="173"/>
      <c r="O10" s="157">
        <f>SUM(F10+G10+J10)</f>
        <v>387645.82999999996</v>
      </c>
      <c r="P10" s="165">
        <f t="shared" si="3"/>
        <v>190005.6</v>
      </c>
    </row>
    <row r="11" spans="1:25" ht="15" thickBot="1" x14ac:dyDescent="0.35">
      <c r="A11" s="439" t="s">
        <v>4</v>
      </c>
      <c r="B11" s="52">
        <v>0.52</v>
      </c>
      <c r="C11" s="52">
        <v>0.68</v>
      </c>
      <c r="D11" s="56">
        <v>37894</v>
      </c>
      <c r="E11" s="139"/>
      <c r="F11" s="139">
        <f>6.59*D11</f>
        <v>249721.46</v>
      </c>
      <c r="G11" s="139">
        <f t="shared" si="4"/>
        <v>343319.64</v>
      </c>
      <c r="H11" s="139"/>
      <c r="I11" s="72">
        <v>112609</v>
      </c>
      <c r="J11" s="139">
        <f t="shared" ref="J11:J17" si="6">9.06*I11</f>
        <v>1020237.54</v>
      </c>
      <c r="K11" s="56">
        <v>16292</v>
      </c>
      <c r="L11" s="139">
        <f>(217.54+88.82)*K11</f>
        <v>4991217.12</v>
      </c>
      <c r="M11" s="144">
        <v>2059</v>
      </c>
      <c r="N11" s="173"/>
      <c r="O11" s="157">
        <f>SUM(F11+G11+J11)</f>
        <v>1613278.6400000001</v>
      </c>
      <c r="P11" s="165">
        <f t="shared" si="3"/>
        <v>4991217.12</v>
      </c>
      <c r="R11" s="20" t="s">
        <v>474</v>
      </c>
      <c r="S11" s="170" t="s">
        <v>470</v>
      </c>
      <c r="T11" s="171" t="s">
        <v>3</v>
      </c>
      <c r="U11" s="183" t="s">
        <v>4</v>
      </c>
      <c r="V11" s="183" t="s">
        <v>0</v>
      </c>
      <c r="W11" s="183" t="s">
        <v>1</v>
      </c>
      <c r="X11" s="183" t="s">
        <v>5</v>
      </c>
      <c r="Y11" s="184" t="s">
        <v>7</v>
      </c>
    </row>
    <row r="12" spans="1:25" ht="15" thickBot="1" x14ac:dyDescent="0.35">
      <c r="A12" s="439"/>
      <c r="B12" s="52">
        <v>0.62</v>
      </c>
      <c r="C12" s="52">
        <v>0.75</v>
      </c>
      <c r="D12" s="56">
        <v>2774</v>
      </c>
      <c r="E12" s="139">
        <f>6.59*D12</f>
        <v>18280.66</v>
      </c>
      <c r="F12" s="139"/>
      <c r="G12" s="139">
        <f t="shared" si="4"/>
        <v>25132.440000000002</v>
      </c>
      <c r="H12" s="139"/>
      <c r="I12" s="72">
        <v>7992</v>
      </c>
      <c r="J12" s="139">
        <f t="shared" si="6"/>
        <v>72407.520000000004</v>
      </c>
      <c r="K12" s="56">
        <v>1670</v>
      </c>
      <c r="L12" s="139">
        <f>(217.54+88.82)*K12</f>
        <v>511621.2</v>
      </c>
      <c r="M12" s="144">
        <v>159</v>
      </c>
      <c r="N12" s="173"/>
      <c r="O12" s="157">
        <f>SUM(E12+G12+J12)</f>
        <v>115820.62000000001</v>
      </c>
      <c r="P12" s="165">
        <f t="shared" si="3"/>
        <v>511621.2</v>
      </c>
      <c r="R12" s="177" t="s">
        <v>496</v>
      </c>
      <c r="S12" s="178">
        <v>2397695.9500000002</v>
      </c>
      <c r="T12" s="178">
        <v>1750388.79</v>
      </c>
      <c r="U12" s="178">
        <v>1729099.26</v>
      </c>
      <c r="V12" s="178">
        <v>1353455.52</v>
      </c>
      <c r="W12" s="178">
        <v>1348076.22</v>
      </c>
      <c r="X12" s="178">
        <v>125611.08</v>
      </c>
      <c r="Y12" s="176">
        <v>10306.14</v>
      </c>
    </row>
    <row r="13" spans="1:25" ht="15" thickBot="1" x14ac:dyDescent="0.35">
      <c r="A13" s="90" t="s">
        <v>0</v>
      </c>
      <c r="B13" s="52">
        <v>0.47</v>
      </c>
      <c r="C13" s="52">
        <v>0.64</v>
      </c>
      <c r="D13" s="56">
        <v>25632</v>
      </c>
      <c r="E13" s="133"/>
      <c r="F13" s="133">
        <f>6.59*D13</f>
        <v>168914.88</v>
      </c>
      <c r="G13" s="133">
        <f t="shared" si="4"/>
        <v>232225.92000000001</v>
      </c>
      <c r="H13" s="133"/>
      <c r="I13" s="72">
        <v>105112</v>
      </c>
      <c r="J13" s="133">
        <f t="shared" si="6"/>
        <v>952314.72000000009</v>
      </c>
      <c r="K13" s="56">
        <v>14027</v>
      </c>
      <c r="L13" s="133">
        <f>(304.9+54.08)*K13</f>
        <v>5035412.459999999</v>
      </c>
      <c r="M13" s="144">
        <v>1685</v>
      </c>
      <c r="N13" s="174"/>
      <c r="O13" s="157">
        <f>SUM(F13+G13+J13)</f>
        <v>1353455.52</v>
      </c>
      <c r="P13" s="165">
        <f t="shared" si="3"/>
        <v>5035412.459999999</v>
      </c>
      <c r="R13" s="181" t="s">
        <v>495</v>
      </c>
      <c r="S13" s="186">
        <v>1225349.8400000001</v>
      </c>
      <c r="T13" s="186">
        <v>5319784.24</v>
      </c>
      <c r="U13" s="186">
        <v>5502838.3200000003</v>
      </c>
      <c r="V13" s="186">
        <v>5035412.46</v>
      </c>
      <c r="W13" s="186">
        <v>6518358.8399999999</v>
      </c>
      <c r="X13" s="186">
        <v>748743.84</v>
      </c>
      <c r="Y13" s="187">
        <v>87232.14</v>
      </c>
    </row>
    <row r="14" spans="1:25" x14ac:dyDescent="0.3">
      <c r="A14" s="433" t="s">
        <v>1</v>
      </c>
      <c r="B14" s="52">
        <v>0.53</v>
      </c>
      <c r="C14" s="52">
        <v>0.75</v>
      </c>
      <c r="D14" s="56">
        <v>7610</v>
      </c>
      <c r="E14" s="133"/>
      <c r="F14" s="133">
        <f>6.59*D14</f>
        <v>50149.9</v>
      </c>
      <c r="G14" s="133">
        <f t="shared" si="4"/>
        <v>68946.600000000006</v>
      </c>
      <c r="H14" s="133"/>
      <c r="I14" s="56">
        <v>35903</v>
      </c>
      <c r="J14" s="133">
        <f t="shared" si="6"/>
        <v>325281.18</v>
      </c>
      <c r="K14" s="72">
        <v>6476</v>
      </c>
      <c r="L14" s="133">
        <f>(304.9+54.08)*K14</f>
        <v>2324754.48</v>
      </c>
      <c r="M14" s="144">
        <v>609</v>
      </c>
      <c r="N14" s="172"/>
      <c r="O14" s="157">
        <f>SUM(F14+G14+J14)</f>
        <v>444377.68</v>
      </c>
      <c r="P14" s="165">
        <f t="shared" si="3"/>
        <v>2324754.48</v>
      </c>
    </row>
    <row r="15" spans="1:25" x14ac:dyDescent="0.3">
      <c r="A15" s="434"/>
      <c r="B15" s="52">
        <v>0.49</v>
      </c>
      <c r="C15" s="52">
        <v>0.72</v>
      </c>
      <c r="D15" s="56">
        <v>19690</v>
      </c>
      <c r="E15" s="133"/>
      <c r="F15" s="133">
        <f>6.59*D15</f>
        <v>129757.09999999999</v>
      </c>
      <c r="G15" s="133"/>
      <c r="H15" s="133">
        <f>9.06*D15</f>
        <v>178391.40000000002</v>
      </c>
      <c r="I15" s="72">
        <v>61310</v>
      </c>
      <c r="J15" s="133">
        <f t="shared" si="6"/>
        <v>555468.6</v>
      </c>
      <c r="K15" s="56">
        <v>11131</v>
      </c>
      <c r="L15" s="133">
        <f>(304.9+54.08)*K15</f>
        <v>3995806.3799999994</v>
      </c>
      <c r="M15" s="144">
        <v>1284</v>
      </c>
      <c r="N15" s="172"/>
      <c r="O15" s="157">
        <f>SUM(F15+H15+J15)</f>
        <v>863617.1</v>
      </c>
      <c r="P15" s="165">
        <f t="shared" si="3"/>
        <v>3995806.3799999994</v>
      </c>
    </row>
    <row r="16" spans="1:25" x14ac:dyDescent="0.3">
      <c r="A16" s="434"/>
      <c r="B16" s="105">
        <v>0.49</v>
      </c>
      <c r="C16" s="52">
        <v>0.75</v>
      </c>
      <c r="D16" s="56">
        <v>412</v>
      </c>
      <c r="E16" s="133">
        <f>6.59*D16</f>
        <v>2715.08</v>
      </c>
      <c r="F16" s="133"/>
      <c r="G16" s="133"/>
      <c r="H16" s="133">
        <f>9.06*D16</f>
        <v>3732.7200000000003</v>
      </c>
      <c r="I16" s="72">
        <v>2498</v>
      </c>
      <c r="J16" s="133">
        <f t="shared" si="6"/>
        <v>22631.88</v>
      </c>
      <c r="K16" s="56">
        <v>383</v>
      </c>
      <c r="L16" s="133">
        <f>(304.9+54.08)*K16</f>
        <v>137489.34</v>
      </c>
      <c r="M16" s="145">
        <v>40</v>
      </c>
      <c r="N16" s="172"/>
      <c r="O16" s="157">
        <f>SUM(F16+H16+J16)</f>
        <v>26364.600000000002</v>
      </c>
      <c r="P16" s="165">
        <f t="shared" si="3"/>
        <v>137489.34</v>
      </c>
    </row>
    <row r="17" spans="1:16" x14ac:dyDescent="0.3">
      <c r="A17" s="435"/>
      <c r="B17" s="105">
        <v>0.47</v>
      </c>
      <c r="C17" s="52">
        <v>0.75</v>
      </c>
      <c r="D17" s="56">
        <v>275</v>
      </c>
      <c r="E17" s="133">
        <f>6.59*D17</f>
        <v>1812.25</v>
      </c>
      <c r="F17" s="133"/>
      <c r="G17" s="133">
        <f>9.06*D17</f>
        <v>2491.5</v>
      </c>
      <c r="H17" s="133"/>
      <c r="I17" s="72">
        <v>1239</v>
      </c>
      <c r="J17" s="133">
        <f t="shared" si="6"/>
        <v>11225.34</v>
      </c>
      <c r="K17" s="56">
        <v>168</v>
      </c>
      <c r="L17" s="133">
        <f>(304.9+54.08)*K17</f>
        <v>60308.639999999992</v>
      </c>
      <c r="M17" s="145">
        <v>24</v>
      </c>
      <c r="N17" s="172"/>
      <c r="O17" s="157">
        <f t="shared" ref="O17" si="7">SUM(F17+G17+J17)</f>
        <v>13716.84</v>
      </c>
      <c r="P17" s="165">
        <f t="shared" si="3"/>
        <v>60308.639999999992</v>
      </c>
    </row>
    <row r="18" spans="1:16" x14ac:dyDescent="0.3">
      <c r="A18" s="90" t="s">
        <v>5</v>
      </c>
      <c r="B18" s="52">
        <v>0.44</v>
      </c>
      <c r="C18" s="52">
        <v>0.75</v>
      </c>
      <c r="D18" s="56">
        <v>2398</v>
      </c>
      <c r="E18" s="133">
        <f>5.87*D18</f>
        <v>14076.26</v>
      </c>
      <c r="F18" s="133"/>
      <c r="G18" s="133">
        <f>9.06*D18</f>
        <v>21725.88</v>
      </c>
      <c r="H18" s="133"/>
      <c r="I18" s="72">
        <v>11911</v>
      </c>
      <c r="J18" s="133">
        <f>7.54*I18</f>
        <v>89808.94</v>
      </c>
      <c r="K18" s="56">
        <v>2444</v>
      </c>
      <c r="L18" s="133">
        <f>(217.54+88.82)*K18</f>
        <v>748743.84000000008</v>
      </c>
      <c r="M18" s="144">
        <v>259</v>
      </c>
      <c r="N18" s="174"/>
      <c r="O18" s="157">
        <f>SUM(E18+G18+J18)</f>
        <v>125611.08</v>
      </c>
      <c r="P18" s="165">
        <f t="shared" si="3"/>
        <v>748743.84000000008</v>
      </c>
    </row>
    <row r="19" spans="1:16" ht="15" thickBot="1" x14ac:dyDescent="0.35">
      <c r="A19" s="92" t="s">
        <v>471</v>
      </c>
      <c r="B19" s="93">
        <v>0.32</v>
      </c>
      <c r="C19" s="93">
        <v>0.75</v>
      </c>
      <c r="D19" s="94">
        <v>376</v>
      </c>
      <c r="E19" s="149"/>
      <c r="F19" s="149">
        <f>3.18*D19</f>
        <v>1195.68</v>
      </c>
      <c r="G19" s="149">
        <f>3.45*D19</f>
        <v>1297.2</v>
      </c>
      <c r="H19" s="149"/>
      <c r="I19" s="95">
        <v>2067</v>
      </c>
      <c r="J19" s="149">
        <f>3.78*I19</f>
        <v>7813.2599999999993</v>
      </c>
      <c r="K19" s="94">
        <v>243</v>
      </c>
      <c r="L19" s="149">
        <f>(304.9+54.08)*K19</f>
        <v>87232.139999999985</v>
      </c>
      <c r="M19" s="146">
        <v>30</v>
      </c>
      <c r="N19" s="174"/>
      <c r="O19" s="157">
        <f>SUM(F19+G19+J19)</f>
        <v>10306.14</v>
      </c>
      <c r="P19" s="165">
        <f t="shared" si="3"/>
        <v>87232.139999999985</v>
      </c>
    </row>
    <row r="20" spans="1:16" ht="15" thickBot="1" x14ac:dyDescent="0.35">
      <c r="N20" s="162"/>
      <c r="O20" s="148"/>
      <c r="P20" s="163"/>
    </row>
    <row r="21" spans="1:16" ht="44.4" customHeight="1" thickBot="1" x14ac:dyDescent="0.35">
      <c r="A21" s="132" t="s">
        <v>486</v>
      </c>
      <c r="B21" s="128" t="s">
        <v>484</v>
      </c>
      <c r="C21" s="128" t="s">
        <v>483</v>
      </c>
      <c r="D21" s="128" t="s">
        <v>74</v>
      </c>
      <c r="E21" s="129" t="s">
        <v>478</v>
      </c>
      <c r="F21" s="129" t="s">
        <v>479</v>
      </c>
      <c r="G21" s="129" t="s">
        <v>480</v>
      </c>
      <c r="H21" s="129" t="s">
        <v>481</v>
      </c>
      <c r="I21" s="128" t="s">
        <v>468</v>
      </c>
      <c r="J21" s="129" t="s">
        <v>476</v>
      </c>
      <c r="K21" s="128" t="s">
        <v>482</v>
      </c>
      <c r="L21" s="129" t="s">
        <v>477</v>
      </c>
      <c r="M21" s="147" t="s">
        <v>469</v>
      </c>
      <c r="N21" s="442" t="s">
        <v>497</v>
      </c>
      <c r="O21" s="443"/>
      <c r="P21" s="444"/>
    </row>
    <row r="22" spans="1:16" ht="15" thickBot="1" x14ac:dyDescent="0.35">
      <c r="A22" s="102" t="s">
        <v>2</v>
      </c>
      <c r="B22" s="116"/>
      <c r="C22" s="117"/>
      <c r="D22" s="117"/>
      <c r="E22" s="127" t="s">
        <v>487</v>
      </c>
      <c r="F22" s="127" t="s">
        <v>487</v>
      </c>
      <c r="G22" s="127" t="s">
        <v>487</v>
      </c>
      <c r="H22" s="127" t="s">
        <v>487</v>
      </c>
      <c r="I22" s="117"/>
      <c r="J22" s="127" t="s">
        <v>487</v>
      </c>
      <c r="K22" s="117"/>
      <c r="L22" s="127" t="s">
        <v>487</v>
      </c>
      <c r="M22" s="117"/>
      <c r="N22" s="102" t="s">
        <v>2</v>
      </c>
      <c r="O22" s="440"/>
      <c r="P22" s="441"/>
    </row>
    <row r="23" spans="1:16" x14ac:dyDescent="0.3">
      <c r="A23" s="97" t="s">
        <v>0</v>
      </c>
      <c r="B23" s="104">
        <v>0.5</v>
      </c>
      <c r="C23" s="98">
        <v>0.55000000000000004</v>
      </c>
      <c r="D23" s="99">
        <v>1280</v>
      </c>
      <c r="E23" s="133"/>
      <c r="F23" s="133">
        <f>(6.59+42.12)*D23</f>
        <v>62348.799999999988</v>
      </c>
      <c r="G23" s="133">
        <f>(9.06+42.12)*D23</f>
        <v>65510.400000000001</v>
      </c>
      <c r="H23" s="133"/>
      <c r="I23" s="100">
        <v>3238</v>
      </c>
      <c r="J23" s="133">
        <f>(6.74+66.05+44.96+9.06+95.03+9.47+2.97)*I23</f>
        <v>758598.64</v>
      </c>
      <c r="K23" s="99">
        <v>339</v>
      </c>
      <c r="L23" s="133">
        <f>(13+304.9+41.66+58.08)*K23</f>
        <v>141579.95999999996</v>
      </c>
      <c r="M23" s="143">
        <v>44</v>
      </c>
      <c r="N23" s="97" t="s">
        <v>0</v>
      </c>
      <c r="O23" s="157">
        <f>SUM(F23+G23+J23)</f>
        <v>886457.84</v>
      </c>
      <c r="P23" s="165">
        <f>SUM(L23+0)</f>
        <v>141579.95999999996</v>
      </c>
    </row>
    <row r="24" spans="1:16" ht="15" thickBot="1" x14ac:dyDescent="0.35">
      <c r="A24" s="103" t="s">
        <v>1</v>
      </c>
      <c r="B24" s="122">
        <v>0.5</v>
      </c>
      <c r="C24" s="123">
        <v>0.71</v>
      </c>
      <c r="D24" s="124">
        <v>4908</v>
      </c>
      <c r="E24" s="133"/>
      <c r="F24" s="133">
        <f>(6.59+42.12)*D24</f>
        <v>239068.67999999996</v>
      </c>
      <c r="G24" s="133">
        <f>(9.06+42.12)*D24</f>
        <v>251191.44</v>
      </c>
      <c r="H24" s="133"/>
      <c r="I24" s="125">
        <v>11670</v>
      </c>
      <c r="J24" s="133">
        <f>(6.74+66.05+44.96+9.06+95.03+9.47+2.97)*I24</f>
        <v>2734047.6</v>
      </c>
      <c r="K24" s="124">
        <v>1952</v>
      </c>
      <c r="L24" s="133">
        <f>(13+304.9+41.66+58.08)*K24</f>
        <v>815233.27999999991</v>
      </c>
      <c r="M24" s="156">
        <v>153</v>
      </c>
      <c r="N24" s="92" t="s">
        <v>1</v>
      </c>
      <c r="O24" s="166">
        <f>SUM(F24+G24+J24)</f>
        <v>3224307.72</v>
      </c>
      <c r="P24" s="167">
        <f>SUM(L24+0)</f>
        <v>815233.27999999991</v>
      </c>
    </row>
    <row r="25" spans="1:16" ht="15" thickBot="1" x14ac:dyDescent="0.35">
      <c r="A25" s="20" t="s">
        <v>474</v>
      </c>
      <c r="B25" s="119"/>
      <c r="C25" s="120"/>
      <c r="D25" s="120"/>
      <c r="E25" s="127" t="s">
        <v>487</v>
      </c>
      <c r="F25" s="127" t="s">
        <v>487</v>
      </c>
      <c r="G25" s="127" t="s">
        <v>487</v>
      </c>
      <c r="H25" s="127" t="s">
        <v>487</v>
      </c>
      <c r="I25" s="117"/>
      <c r="J25" s="127" t="s">
        <v>487</v>
      </c>
      <c r="K25" s="117"/>
      <c r="L25" s="127" t="s">
        <v>487</v>
      </c>
      <c r="M25" s="120"/>
      <c r="N25" s="164" t="s">
        <v>474</v>
      </c>
      <c r="O25" s="148"/>
      <c r="P25" s="163"/>
    </row>
    <row r="26" spans="1:16" x14ac:dyDescent="0.3">
      <c r="A26" s="434" t="s">
        <v>470</v>
      </c>
      <c r="B26" s="98">
        <v>0.41</v>
      </c>
      <c r="C26" s="98">
        <v>0.65</v>
      </c>
      <c r="D26" s="99">
        <v>1032</v>
      </c>
      <c r="E26" s="133"/>
      <c r="F26" s="133">
        <f>(7.32+42.12)*D26</f>
        <v>51022.079999999994</v>
      </c>
      <c r="G26" s="133">
        <f>(10.34+42.12)*D26</f>
        <v>54138.719999999994</v>
      </c>
      <c r="H26" s="133"/>
      <c r="I26" s="137">
        <v>2932</v>
      </c>
      <c r="J26" s="133">
        <f>(113.46+6.47+54.77)*I26</f>
        <v>512220.39999999997</v>
      </c>
      <c r="K26" s="137">
        <v>715</v>
      </c>
      <c r="L26" s="133">
        <f>(283.74+88.82+41.27)*K26</f>
        <v>295888.45</v>
      </c>
      <c r="M26" s="143">
        <v>31</v>
      </c>
      <c r="N26" s="434" t="s">
        <v>470</v>
      </c>
      <c r="O26" s="157">
        <f>SUM(F26+G26+J26)</f>
        <v>617381.19999999995</v>
      </c>
      <c r="P26" s="165">
        <f>SUM(L26+0)</f>
        <v>295888.45</v>
      </c>
    </row>
    <row r="27" spans="1:16" x14ac:dyDescent="0.3">
      <c r="A27" s="434"/>
      <c r="B27" s="98">
        <v>0.51</v>
      </c>
      <c r="C27" s="98">
        <v>0.72</v>
      </c>
      <c r="D27" s="99">
        <v>4920</v>
      </c>
      <c r="E27" s="133">
        <f>(13.78+42.12)*D27</f>
        <v>275028</v>
      </c>
      <c r="F27" s="136"/>
      <c r="G27" s="133">
        <f>(10.34+42.12)*D27</f>
        <v>258103.19999999998</v>
      </c>
      <c r="H27" s="133"/>
      <c r="I27" s="137">
        <v>15919</v>
      </c>
      <c r="J27" s="133">
        <f>(113.46+6.47+54.77)*I27</f>
        <v>2781049.3</v>
      </c>
      <c r="K27" s="137">
        <v>2574</v>
      </c>
      <c r="L27" s="133">
        <f>(283.74+88.82+41.27)*K27</f>
        <v>1065198.42</v>
      </c>
      <c r="M27" s="143">
        <v>204</v>
      </c>
      <c r="N27" s="434"/>
      <c r="O27" s="157">
        <f>SUM(E27+G27+J27)</f>
        <v>3314180.5</v>
      </c>
      <c r="P27" s="165">
        <f t="shared" ref="P27:P39" si="8">SUM(L27+0)</f>
        <v>1065198.42</v>
      </c>
    </row>
    <row r="28" spans="1:16" x14ac:dyDescent="0.3">
      <c r="A28" s="436" t="s">
        <v>3</v>
      </c>
      <c r="B28" s="52">
        <v>0.44</v>
      </c>
      <c r="C28" s="52">
        <v>0.61</v>
      </c>
      <c r="D28" s="56">
        <v>22753</v>
      </c>
      <c r="E28" s="133"/>
      <c r="F28" s="133">
        <f>(8.32+42.12)*D28</f>
        <v>1147661.3199999998</v>
      </c>
      <c r="G28" s="133">
        <f t="shared" ref="G28:G34" si="9">(9.06+42.12)*D28</f>
        <v>1164498.54</v>
      </c>
      <c r="H28" s="133"/>
      <c r="I28" s="72">
        <v>65874</v>
      </c>
      <c r="J28" s="141">
        <f>(6.74+66.05+44.96+9.06+95.3+9.47+2.97)*I28</f>
        <v>15450746.700000001</v>
      </c>
      <c r="K28" s="56">
        <v>10205</v>
      </c>
      <c r="L28" s="133">
        <f>(13+283.74+41.27+88.82)*K28</f>
        <v>4355800.1499999994</v>
      </c>
      <c r="M28" s="144">
        <v>1286</v>
      </c>
      <c r="N28" s="436" t="s">
        <v>3</v>
      </c>
      <c r="O28" s="157">
        <f>SUM(F28+G28+J28)</f>
        <v>17762906.560000002</v>
      </c>
      <c r="P28" s="165">
        <f t="shared" si="8"/>
        <v>4355800.1499999994</v>
      </c>
    </row>
    <row r="29" spans="1:16" x14ac:dyDescent="0.3">
      <c r="A29" s="437"/>
      <c r="B29" s="52">
        <v>0.55000000000000004</v>
      </c>
      <c r="C29" s="52">
        <v>0.73</v>
      </c>
      <c r="D29" s="56">
        <v>6654</v>
      </c>
      <c r="E29" s="139">
        <f>(13.78+42.12)*D29</f>
        <v>371958.6</v>
      </c>
      <c r="F29" s="133"/>
      <c r="G29" s="133">
        <f t="shared" si="9"/>
        <v>340551.72</v>
      </c>
      <c r="H29" s="139"/>
      <c r="I29" s="137">
        <v>24117</v>
      </c>
      <c r="J29" s="141">
        <f t="shared" ref="J29" si="10">(6.74+66.05+44.96+9.06+95.3+9.47+2.97)*I29</f>
        <v>5656642.3500000006</v>
      </c>
      <c r="K29" s="137">
        <v>3564</v>
      </c>
      <c r="L29" s="133">
        <f t="shared" ref="L29:L30" si="11">(13+283.74+41.27+88.82)*K29</f>
        <v>1521222.1199999999</v>
      </c>
      <c r="M29" s="144">
        <v>449</v>
      </c>
      <c r="N29" s="437"/>
      <c r="O29" s="157">
        <f>SUM(E29+G29+J29)</f>
        <v>6369152.6700000009</v>
      </c>
      <c r="P29" s="165">
        <f t="shared" si="8"/>
        <v>1521222.1199999999</v>
      </c>
    </row>
    <row r="30" spans="1:16" x14ac:dyDescent="0.3">
      <c r="A30" s="438"/>
      <c r="B30" s="52">
        <v>0.55000000000000004</v>
      </c>
      <c r="C30" s="52">
        <v>0.75</v>
      </c>
      <c r="D30" s="140">
        <v>823</v>
      </c>
      <c r="E30" s="140"/>
      <c r="F30" s="133">
        <f>(8.32+42.12)*D30</f>
        <v>41512.119999999995</v>
      </c>
      <c r="G30" s="133">
        <f t="shared" si="9"/>
        <v>42121.14</v>
      </c>
      <c r="H30" s="140"/>
      <c r="I30" s="140">
        <v>3113</v>
      </c>
      <c r="J30" s="142">
        <f>(113.46+6.47+54.77)*I30</f>
        <v>543841.1</v>
      </c>
      <c r="K30" s="140">
        <v>510</v>
      </c>
      <c r="L30" s="133">
        <f t="shared" si="11"/>
        <v>217683.3</v>
      </c>
      <c r="M30" s="144">
        <v>34</v>
      </c>
      <c r="N30" s="438"/>
      <c r="O30" s="157">
        <f>SUM(F30+G30+J30)</f>
        <v>627474.36</v>
      </c>
      <c r="P30" s="165">
        <f t="shared" si="8"/>
        <v>217683.3</v>
      </c>
    </row>
    <row r="31" spans="1:16" x14ac:dyDescent="0.3">
      <c r="A31" s="439" t="s">
        <v>4</v>
      </c>
      <c r="B31" s="52">
        <v>0.52</v>
      </c>
      <c r="C31" s="52">
        <v>0.68</v>
      </c>
      <c r="D31" s="56">
        <v>37894</v>
      </c>
      <c r="E31" s="139"/>
      <c r="F31" s="139">
        <f>(6.59+42.12)*D31</f>
        <v>1845816.7399999998</v>
      </c>
      <c r="G31" s="139">
        <f t="shared" si="9"/>
        <v>1939414.92</v>
      </c>
      <c r="H31" s="139"/>
      <c r="I31" s="72">
        <v>112609</v>
      </c>
      <c r="J31" s="139">
        <f>(6.74+66.05+44.96+9.06+95.3+9.47+2.97)*I31</f>
        <v>26412440.950000003</v>
      </c>
      <c r="K31" s="56">
        <v>16292</v>
      </c>
      <c r="L31" s="139">
        <f>(13+217.54+28.69+88.82)*K31</f>
        <v>5670430.6000000006</v>
      </c>
      <c r="M31" s="144">
        <v>2059</v>
      </c>
      <c r="N31" s="439" t="s">
        <v>4</v>
      </c>
      <c r="O31" s="157">
        <f>SUM(F31+G31+J31)</f>
        <v>30197672.610000003</v>
      </c>
      <c r="P31" s="165">
        <f t="shared" si="8"/>
        <v>5670430.6000000006</v>
      </c>
    </row>
    <row r="32" spans="1:16" x14ac:dyDescent="0.3">
      <c r="A32" s="439"/>
      <c r="B32" s="52">
        <v>0.62</v>
      </c>
      <c r="C32" s="52">
        <v>0.75</v>
      </c>
      <c r="D32" s="56">
        <v>2774</v>
      </c>
      <c r="E32" s="139">
        <f>(6.59+42.12)*D32</f>
        <v>135121.53999999998</v>
      </c>
      <c r="F32" s="139"/>
      <c r="G32" s="139">
        <f t="shared" si="9"/>
        <v>141973.32</v>
      </c>
      <c r="H32" s="139"/>
      <c r="I32" s="72">
        <v>7992</v>
      </c>
      <c r="J32" s="139">
        <f>(6.74+66.05+44.96+9.06+95.3+9.47+2.97)*I32</f>
        <v>1874523.6</v>
      </c>
      <c r="K32" s="56">
        <v>1670</v>
      </c>
      <c r="L32" s="139">
        <f>(13+217.54+28.69+88.82)*K32</f>
        <v>581243.5</v>
      </c>
      <c r="M32" s="144">
        <v>159</v>
      </c>
      <c r="N32" s="439"/>
      <c r="O32" s="157">
        <f>SUM(E32+G32+J32)</f>
        <v>2151618.46</v>
      </c>
      <c r="P32" s="165">
        <f t="shared" si="8"/>
        <v>581243.5</v>
      </c>
    </row>
    <row r="33" spans="1:16" x14ac:dyDescent="0.3">
      <c r="A33" s="90" t="s">
        <v>0</v>
      </c>
      <c r="B33" s="52">
        <v>0.47</v>
      </c>
      <c r="C33" s="52">
        <v>0.64</v>
      </c>
      <c r="D33" s="56">
        <v>25632</v>
      </c>
      <c r="E33" s="133"/>
      <c r="F33" s="133">
        <f>(6.59+42.12)*D33</f>
        <v>1248534.7199999997</v>
      </c>
      <c r="G33" s="133">
        <f t="shared" si="9"/>
        <v>1311845.76</v>
      </c>
      <c r="H33" s="133"/>
      <c r="I33" s="72">
        <v>105112</v>
      </c>
      <c r="J33" s="133">
        <f>(6.74+66.05+44.96+9.06+95.3+9.47+2.97)*I33</f>
        <v>24654019.600000001</v>
      </c>
      <c r="K33" s="56">
        <v>14027</v>
      </c>
      <c r="L33" s="133">
        <f>(13+304.9+41.66+54.08)*K33</f>
        <v>5802128.2799999993</v>
      </c>
      <c r="M33" s="144">
        <v>1685</v>
      </c>
      <c r="N33" s="90" t="s">
        <v>0</v>
      </c>
      <c r="O33" s="157">
        <f>SUM(F33+G33+J33)</f>
        <v>27214400.080000002</v>
      </c>
      <c r="P33" s="165">
        <f t="shared" si="8"/>
        <v>5802128.2799999993</v>
      </c>
    </row>
    <row r="34" spans="1:16" x14ac:dyDescent="0.3">
      <c r="A34" s="433" t="s">
        <v>1</v>
      </c>
      <c r="B34" s="52">
        <v>0.53</v>
      </c>
      <c r="C34" s="52">
        <v>0.75</v>
      </c>
      <c r="D34" s="56">
        <v>7610</v>
      </c>
      <c r="E34" s="133"/>
      <c r="F34" s="133">
        <f>(6.59+42.12)*D34</f>
        <v>370683.1</v>
      </c>
      <c r="G34" s="133">
        <f t="shared" si="9"/>
        <v>389479.8</v>
      </c>
      <c r="H34" s="133"/>
      <c r="I34" s="56">
        <v>35903</v>
      </c>
      <c r="J34" s="133">
        <f>(6.74+66.05+44.96+9.06+95.3+9.47+2.97)*I34</f>
        <v>8421048.6500000004</v>
      </c>
      <c r="K34" s="72">
        <v>6476</v>
      </c>
      <c r="L34" s="133">
        <f>(13+304.9+41.66+54.08)*K34</f>
        <v>2678732.6399999997</v>
      </c>
      <c r="M34" s="144">
        <v>609</v>
      </c>
      <c r="N34" s="433" t="s">
        <v>1</v>
      </c>
      <c r="O34" s="157">
        <f>SUM(F34+G34+J34)</f>
        <v>9181211.5500000007</v>
      </c>
      <c r="P34" s="165">
        <f t="shared" si="8"/>
        <v>2678732.6399999997</v>
      </c>
    </row>
    <row r="35" spans="1:16" x14ac:dyDescent="0.3">
      <c r="A35" s="434"/>
      <c r="B35" s="52">
        <v>0.49</v>
      </c>
      <c r="C35" s="52">
        <v>0.72</v>
      </c>
      <c r="D35" s="56">
        <v>19690</v>
      </c>
      <c r="E35" s="133"/>
      <c r="F35" s="133">
        <f>(6.59+42.12)*D35</f>
        <v>959099.89999999991</v>
      </c>
      <c r="G35" s="133"/>
      <c r="H35" s="133">
        <f>(9.06+42.12)*D35</f>
        <v>1007734.2</v>
      </c>
      <c r="I35" s="72">
        <v>61310</v>
      </c>
      <c r="J35" s="133">
        <f t="shared" ref="J35:J37" si="12">(6.74+66.05+44.96+9.06+95.3+9.47+2.97)*I35</f>
        <v>14380260.5</v>
      </c>
      <c r="K35" s="56">
        <v>11131</v>
      </c>
      <c r="L35" s="133">
        <f t="shared" ref="L35:L37" si="13">(13+304.9+41.66+54.08)*K35</f>
        <v>4604226.8399999989</v>
      </c>
      <c r="M35" s="144">
        <v>1284</v>
      </c>
      <c r="N35" s="434"/>
      <c r="O35" s="157">
        <f>SUM(F35+H35+J35)</f>
        <v>16347094.6</v>
      </c>
      <c r="P35" s="165">
        <f t="shared" si="8"/>
        <v>4604226.8399999989</v>
      </c>
    </row>
    <row r="36" spans="1:16" x14ac:dyDescent="0.3">
      <c r="A36" s="434"/>
      <c r="B36" s="105">
        <v>0.49</v>
      </c>
      <c r="C36" s="52">
        <v>0.75</v>
      </c>
      <c r="D36" s="56">
        <v>412</v>
      </c>
      <c r="E36" s="133">
        <f>(6.59+42.12)*D36</f>
        <v>20068.519999999997</v>
      </c>
      <c r="F36" s="133"/>
      <c r="G36" s="133"/>
      <c r="H36" s="133">
        <f>(9.06+42.12)*D36</f>
        <v>21086.16</v>
      </c>
      <c r="I36" s="72">
        <v>2498</v>
      </c>
      <c r="J36" s="133">
        <f t="shared" si="12"/>
        <v>585905.9</v>
      </c>
      <c r="K36" s="56">
        <v>383</v>
      </c>
      <c r="L36" s="133">
        <f t="shared" si="13"/>
        <v>158424.11999999997</v>
      </c>
      <c r="M36" s="145">
        <v>40</v>
      </c>
      <c r="N36" s="434"/>
      <c r="O36" s="157">
        <f>SUM(E36+H36+J36)</f>
        <v>627060.58000000007</v>
      </c>
      <c r="P36" s="165">
        <f t="shared" si="8"/>
        <v>158424.11999999997</v>
      </c>
    </row>
    <row r="37" spans="1:16" x14ac:dyDescent="0.3">
      <c r="A37" s="435"/>
      <c r="B37" s="105">
        <v>0.47</v>
      </c>
      <c r="C37" s="52">
        <v>0.75</v>
      </c>
      <c r="D37" s="56">
        <v>275</v>
      </c>
      <c r="E37" s="133">
        <f>(6.59+42.12)*D37</f>
        <v>13395.249999999998</v>
      </c>
      <c r="F37" s="133"/>
      <c r="G37" s="133">
        <f>(9.06+42.12)*D37</f>
        <v>14074.5</v>
      </c>
      <c r="H37" s="133"/>
      <c r="I37" s="72">
        <v>1239</v>
      </c>
      <c r="J37" s="133">
        <f t="shared" si="12"/>
        <v>290607.45</v>
      </c>
      <c r="K37" s="56">
        <v>168</v>
      </c>
      <c r="L37" s="133">
        <f t="shared" si="13"/>
        <v>69491.51999999999</v>
      </c>
      <c r="M37" s="145">
        <v>24</v>
      </c>
      <c r="N37" s="435"/>
      <c r="O37" s="157">
        <f>SUM(E37+G37+J37)</f>
        <v>318077.2</v>
      </c>
      <c r="P37" s="165">
        <f t="shared" si="8"/>
        <v>69491.51999999999</v>
      </c>
    </row>
    <row r="38" spans="1:16" x14ac:dyDescent="0.3">
      <c r="A38" s="90" t="s">
        <v>5</v>
      </c>
      <c r="B38" s="52">
        <v>0.44</v>
      </c>
      <c r="C38" s="52">
        <v>0.75</v>
      </c>
      <c r="D38" s="56">
        <v>2398</v>
      </c>
      <c r="E38" s="133">
        <f>(5.87+42.12)*D38</f>
        <v>115080.01999999999</v>
      </c>
      <c r="F38" s="133"/>
      <c r="G38" s="133">
        <f>(9.06+42.12)*D38</f>
        <v>122729.64</v>
      </c>
      <c r="H38" s="133"/>
      <c r="I38" s="72">
        <v>11911</v>
      </c>
      <c r="J38" s="133">
        <f>(6.74+66.05+44.96+7.54+95.3+9.47+2.97)*I38</f>
        <v>2775620.33</v>
      </c>
      <c r="K38" s="56">
        <v>2444</v>
      </c>
      <c r="L38" s="133">
        <f>(13+217.54+28.69+88.82)*K38</f>
        <v>850634.20000000007</v>
      </c>
      <c r="M38" s="144">
        <v>259</v>
      </c>
      <c r="N38" s="90" t="s">
        <v>5</v>
      </c>
      <c r="O38" s="157">
        <f>SUM(E38+G38+J38)</f>
        <v>3013429.99</v>
      </c>
      <c r="P38" s="165">
        <f t="shared" si="8"/>
        <v>850634.20000000007</v>
      </c>
    </row>
    <row r="39" spans="1:16" ht="15" thickBot="1" x14ac:dyDescent="0.35">
      <c r="A39" s="92" t="s">
        <v>471</v>
      </c>
      <c r="B39" s="93">
        <v>0.32</v>
      </c>
      <c r="C39" s="93">
        <v>0.75</v>
      </c>
      <c r="D39" s="94">
        <v>376</v>
      </c>
      <c r="E39" s="149"/>
      <c r="F39" s="149">
        <f>(3.18+42.12)*D39</f>
        <v>17032.8</v>
      </c>
      <c r="G39" s="149">
        <f>(3.45+42.12)*D39</f>
        <v>17134.32</v>
      </c>
      <c r="H39" s="149"/>
      <c r="I39" s="95">
        <v>2067</v>
      </c>
      <c r="J39" s="149">
        <f>(6.74+66.05+44.96+3.78+95.3+9.47+2.97)*I39</f>
        <v>473901.08999999997</v>
      </c>
      <c r="K39" s="94">
        <v>243</v>
      </c>
      <c r="L39" s="149">
        <f>(13+304.9+41.66+54.08)*K39</f>
        <v>100514.51999999999</v>
      </c>
      <c r="M39" s="146">
        <v>30</v>
      </c>
      <c r="N39" s="92" t="s">
        <v>471</v>
      </c>
      <c r="O39" s="166">
        <f>SUM(F39+G39+J39)</f>
        <v>508068.20999999996</v>
      </c>
      <c r="P39" s="167">
        <f t="shared" si="8"/>
        <v>100514.51999999999</v>
      </c>
    </row>
    <row r="42" spans="1:16" ht="15" thickBot="1" x14ac:dyDescent="0.35"/>
    <row r="43" spans="1:16" s="150" customFormat="1" ht="15" thickBot="1" x14ac:dyDescent="0.35">
      <c r="A43" s="189" t="s">
        <v>2</v>
      </c>
      <c r="B43" s="189" t="s">
        <v>0</v>
      </c>
      <c r="C43" s="190" t="s">
        <v>1</v>
      </c>
      <c r="D43" s="81"/>
      <c r="E43" s="102" t="s">
        <v>2</v>
      </c>
      <c r="F43" s="168" t="s">
        <v>0</v>
      </c>
      <c r="G43" s="169" t="s">
        <v>1</v>
      </c>
      <c r="H43" s="81"/>
    </row>
    <row r="44" spans="1:16" ht="28.2" x14ac:dyDescent="0.3">
      <c r="A44" s="191" t="s">
        <v>496</v>
      </c>
      <c r="B44" s="192">
        <f>SUM(O23+0)</f>
        <v>886457.84</v>
      </c>
      <c r="C44" s="193">
        <f>SUM(O24+0)</f>
        <v>3224307.72</v>
      </c>
      <c r="D44" s="80"/>
      <c r="E44" s="177" t="s">
        <v>496</v>
      </c>
      <c r="F44" s="178">
        <v>886457.84</v>
      </c>
      <c r="G44" s="179">
        <v>3224307.72</v>
      </c>
      <c r="H44" s="80"/>
    </row>
    <row r="45" spans="1:16" ht="28.8" thickBot="1" x14ac:dyDescent="0.35">
      <c r="A45" s="194" t="s">
        <v>495</v>
      </c>
      <c r="B45" s="195">
        <f>SUM(P23+0)</f>
        <v>141579.95999999996</v>
      </c>
      <c r="C45" s="196">
        <f>SUM(P24+0)</f>
        <v>815233.27999999991</v>
      </c>
      <c r="D45" s="80"/>
      <c r="E45" s="181" t="s">
        <v>495</v>
      </c>
      <c r="F45" s="182">
        <v>141579.96</v>
      </c>
      <c r="G45" s="180">
        <v>815233.28</v>
      </c>
      <c r="H45" s="80"/>
    </row>
    <row r="46" spans="1:16" ht="15" thickBot="1" x14ac:dyDescent="0.35">
      <c r="A46" s="80"/>
      <c r="B46" s="80"/>
      <c r="C46" s="80"/>
      <c r="D46" s="80"/>
      <c r="E46" s="80"/>
      <c r="F46" s="80"/>
      <c r="G46" s="80"/>
      <c r="H46" s="80"/>
    </row>
    <row r="47" spans="1:16" ht="15" thickBot="1" x14ac:dyDescent="0.35">
      <c r="A47" s="189" t="s">
        <v>474</v>
      </c>
      <c r="B47" s="197" t="s">
        <v>470</v>
      </c>
      <c r="C47" s="198" t="s">
        <v>3</v>
      </c>
      <c r="D47" s="199" t="s">
        <v>4</v>
      </c>
      <c r="E47" s="199" t="s">
        <v>0</v>
      </c>
      <c r="F47" s="199" t="s">
        <v>1</v>
      </c>
      <c r="G47" s="199" t="s">
        <v>5</v>
      </c>
      <c r="H47" s="200" t="s">
        <v>7</v>
      </c>
    </row>
    <row r="48" spans="1:16" ht="28.8" thickBot="1" x14ac:dyDescent="0.35">
      <c r="A48" s="201" t="s">
        <v>496</v>
      </c>
      <c r="B48" s="202">
        <f>SUM(O26+O27)</f>
        <v>3931561.7</v>
      </c>
      <c r="C48" s="202">
        <f>SUM(O28+O29+O30)</f>
        <v>24759533.590000004</v>
      </c>
      <c r="D48" s="202">
        <f>SUM(O31+O32)</f>
        <v>32349291.070000004</v>
      </c>
      <c r="E48" s="202">
        <f>SUM(O33+0)</f>
        <v>27214400.080000002</v>
      </c>
      <c r="F48" s="202">
        <f>SUM(O34+O35+O36+O37)</f>
        <v>26473443.929999996</v>
      </c>
      <c r="G48" s="202">
        <f>SUM(O38+0)</f>
        <v>3013429.99</v>
      </c>
      <c r="H48" s="203">
        <f>SUM(P39+0)</f>
        <v>100514.51999999999</v>
      </c>
    </row>
    <row r="49" spans="1:8" ht="28.8" thickBot="1" x14ac:dyDescent="0.35">
      <c r="A49" s="204" t="s">
        <v>495</v>
      </c>
      <c r="B49" s="205">
        <f>SUM(P26+P27)</f>
        <v>1361086.8699999999</v>
      </c>
      <c r="C49" s="205">
        <f>SUM(P29+P30+P31)</f>
        <v>7409336.0200000005</v>
      </c>
      <c r="D49" s="205">
        <f>SUM(P32+P33)</f>
        <v>6383371.7799999993</v>
      </c>
      <c r="E49" s="205">
        <f>SUM(P33+0)</f>
        <v>5802128.2799999993</v>
      </c>
      <c r="F49" s="205">
        <f>SUM(P35+P36+P37+P38)</f>
        <v>5682776.6799999988</v>
      </c>
      <c r="G49" s="205">
        <f>SUM(P38+0)</f>
        <v>850634.20000000007</v>
      </c>
      <c r="H49" s="206">
        <f>SUM(O39+0)</f>
        <v>508068.20999999996</v>
      </c>
    </row>
    <row r="50" spans="1:8" ht="15" thickBot="1" x14ac:dyDescent="0.35">
      <c r="A50" s="185"/>
      <c r="B50" s="155"/>
      <c r="C50" s="155"/>
      <c r="D50" s="155"/>
      <c r="E50" s="155"/>
      <c r="F50" s="155"/>
      <c r="G50" s="155"/>
      <c r="H50" s="155"/>
    </row>
    <row r="51" spans="1:8" ht="15" thickBot="1" x14ac:dyDescent="0.35">
      <c r="A51" s="20" t="s">
        <v>474</v>
      </c>
      <c r="B51" s="170" t="s">
        <v>470</v>
      </c>
      <c r="C51" s="171" t="s">
        <v>3</v>
      </c>
      <c r="D51" s="183" t="s">
        <v>4</v>
      </c>
      <c r="E51" s="183" t="s">
        <v>0</v>
      </c>
      <c r="F51" s="183" t="s">
        <v>1</v>
      </c>
      <c r="G51" s="183" t="s">
        <v>5</v>
      </c>
      <c r="H51" s="184" t="s">
        <v>7</v>
      </c>
    </row>
    <row r="52" spans="1:8" ht="28.8" thickBot="1" x14ac:dyDescent="0.35">
      <c r="A52" s="177" t="s">
        <v>496</v>
      </c>
      <c r="B52" s="178">
        <v>3931561.7</v>
      </c>
      <c r="C52" s="178">
        <v>24759533.59</v>
      </c>
      <c r="D52" s="178">
        <v>32349291.07</v>
      </c>
      <c r="E52" s="178">
        <v>27241100.079999998</v>
      </c>
      <c r="F52" s="178">
        <v>26473443.93</v>
      </c>
      <c r="G52" s="178">
        <v>3013429.99</v>
      </c>
      <c r="H52" s="176">
        <v>100514.52</v>
      </c>
    </row>
    <row r="53" spans="1:8" ht="28.8" thickBot="1" x14ac:dyDescent="0.35">
      <c r="A53" s="181" t="s">
        <v>495</v>
      </c>
      <c r="B53" s="186">
        <v>1361086.85</v>
      </c>
      <c r="C53" s="186">
        <v>7409336.0199999996</v>
      </c>
      <c r="D53" s="186">
        <v>6383371.7800000003</v>
      </c>
      <c r="E53" s="186">
        <v>5802128.2800000003</v>
      </c>
      <c r="F53" s="186">
        <v>5682776.6799999997</v>
      </c>
      <c r="G53" s="186">
        <v>850634.2</v>
      </c>
      <c r="H53" s="187">
        <v>508068.21</v>
      </c>
    </row>
    <row r="56" spans="1:8" ht="15" thickBot="1" x14ac:dyDescent="0.35"/>
    <row r="57" spans="1:8" ht="15" thickBot="1" x14ac:dyDescent="0.35">
      <c r="A57" s="102" t="s">
        <v>2</v>
      </c>
      <c r="B57" t="s">
        <v>498</v>
      </c>
      <c r="C57" t="s">
        <v>499</v>
      </c>
      <c r="D57" t="s">
        <v>500</v>
      </c>
      <c r="E57" t="s">
        <v>501</v>
      </c>
    </row>
    <row r="58" spans="1:8" x14ac:dyDescent="0.3">
      <c r="A58" t="s">
        <v>502</v>
      </c>
      <c r="B58" s="188">
        <v>920580</v>
      </c>
      <c r="C58" s="188">
        <v>1636363.64</v>
      </c>
      <c r="D58" s="188">
        <v>220634.38</v>
      </c>
      <c r="E58" s="188">
        <v>2400000</v>
      </c>
    </row>
    <row r="59" spans="1:8" x14ac:dyDescent="0.3">
      <c r="A59" t="s">
        <v>1</v>
      </c>
      <c r="B59" s="188">
        <v>3515760</v>
      </c>
      <c r="C59" s="188">
        <v>4972727.2699999996</v>
      </c>
      <c r="D59" s="188">
        <v>1268946.25</v>
      </c>
      <c r="E59" s="188">
        <v>8345454.5499999998</v>
      </c>
    </row>
    <row r="60" spans="1:8" ht="15" thickBot="1" x14ac:dyDescent="0.35"/>
    <row r="61" spans="1:8" ht="15" thickBot="1" x14ac:dyDescent="0.35">
      <c r="A61" s="20" t="s">
        <v>503</v>
      </c>
      <c r="B61" t="s">
        <v>498</v>
      </c>
      <c r="C61" t="s">
        <v>499</v>
      </c>
      <c r="D61" t="s">
        <v>500</v>
      </c>
      <c r="E61" t="s">
        <v>501</v>
      </c>
    </row>
    <row r="62" spans="1:8" x14ac:dyDescent="0.3">
      <c r="A62" t="s">
        <v>504</v>
      </c>
      <c r="B62" s="188">
        <v>5106660</v>
      </c>
      <c r="C62" s="188">
        <v>4972727.2699999996</v>
      </c>
      <c r="D62" s="188">
        <v>1268946.25</v>
      </c>
      <c r="E62" s="188">
        <v>12818181.82</v>
      </c>
    </row>
    <row r="63" spans="1:8" x14ac:dyDescent="0.3">
      <c r="A63" t="s">
        <v>3</v>
      </c>
      <c r="B63" s="188">
        <v>25176300</v>
      </c>
      <c r="C63" s="188">
        <v>52318181.82</v>
      </c>
      <c r="D63" s="188">
        <v>9281325.6300000008</v>
      </c>
      <c r="E63" s="188">
        <v>96490909.090000004</v>
      </c>
    </row>
    <row r="64" spans="1:8" x14ac:dyDescent="0.3">
      <c r="A64" t="s">
        <v>4</v>
      </c>
      <c r="B64" s="188">
        <v>32984955</v>
      </c>
      <c r="C64" s="188">
        <v>69990909.090000004</v>
      </c>
      <c r="D64" s="188">
        <v>11675596.560000001</v>
      </c>
      <c r="E64" s="188">
        <v>129654545.45</v>
      </c>
    </row>
    <row r="65" spans="1:5" x14ac:dyDescent="0.3">
      <c r="A65" t="s">
        <v>0</v>
      </c>
      <c r="B65" s="188">
        <v>26010540</v>
      </c>
      <c r="C65" s="188">
        <v>49954545.450000003</v>
      </c>
      <c r="D65" s="188">
        <v>9117838.4399999995</v>
      </c>
      <c r="E65" s="188">
        <v>91909090.909999996</v>
      </c>
    </row>
    <row r="66" spans="1:5" x14ac:dyDescent="0.3">
      <c r="A66" t="s">
        <v>1</v>
      </c>
      <c r="B66" s="188">
        <v>26262135</v>
      </c>
      <c r="C66" s="188">
        <v>56281818.18</v>
      </c>
      <c r="D66" s="188">
        <v>11802050</v>
      </c>
      <c r="E66" s="188">
        <v>106745454.55</v>
      </c>
    </row>
    <row r="67" spans="1:5" x14ac:dyDescent="0.3">
      <c r="A67" t="s">
        <v>5</v>
      </c>
      <c r="B67" s="188">
        <v>2872650</v>
      </c>
      <c r="C67" s="188">
        <v>7209090.9100000001</v>
      </c>
      <c r="D67" s="188">
        <v>1588437.5</v>
      </c>
      <c r="E67" s="188">
        <v>14127272.73</v>
      </c>
    </row>
    <row r="68" spans="1:5" x14ac:dyDescent="0.3">
      <c r="A68" t="s">
        <v>505</v>
      </c>
      <c r="B68" s="188">
        <v>456600</v>
      </c>
      <c r="C68" s="188">
        <v>890909.09</v>
      </c>
      <c r="D68" s="188">
        <v>157880.94</v>
      </c>
      <c r="E68" s="188">
        <v>1636363.64</v>
      </c>
    </row>
  </sheetData>
  <mergeCells count="14">
    <mergeCell ref="O22:P22"/>
    <mergeCell ref="N21:P21"/>
    <mergeCell ref="A31:A32"/>
    <mergeCell ref="A34:A37"/>
    <mergeCell ref="N26:N27"/>
    <mergeCell ref="N28:N30"/>
    <mergeCell ref="N31:N32"/>
    <mergeCell ref="N34:N37"/>
    <mergeCell ref="A28:A30"/>
    <mergeCell ref="A6:A7"/>
    <mergeCell ref="A8:A10"/>
    <mergeCell ref="A11:A12"/>
    <mergeCell ref="A14:A17"/>
    <mergeCell ref="A26:A2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CD396-11D2-4DEA-8CAE-09AE9352593D}">
  <dimension ref="A1:K14"/>
  <sheetViews>
    <sheetView workbookViewId="0">
      <selection activeCell="B5" sqref="B5"/>
    </sheetView>
  </sheetViews>
  <sheetFormatPr defaultRowHeight="14.4" x14ac:dyDescent="0.3"/>
  <cols>
    <col min="1" max="1" width="14.21875" bestFit="1" customWidth="1"/>
    <col min="2" max="2" width="16.6640625" bestFit="1" customWidth="1"/>
    <col min="3" max="3" width="16.6640625" customWidth="1"/>
    <col min="4" max="4" width="16.77734375" bestFit="1" customWidth="1"/>
    <col min="5" max="5" width="16.77734375" customWidth="1"/>
    <col min="6" max="6" width="16.77734375" bestFit="1" customWidth="1"/>
    <col min="7" max="7" width="16.77734375" customWidth="1"/>
    <col min="8" max="8" width="20.5546875" customWidth="1"/>
    <col min="9" max="9" width="16.77734375" bestFit="1" customWidth="1"/>
    <col min="10" max="10" width="15.5546875" bestFit="1" customWidth="1"/>
    <col min="11" max="11" width="13.77734375" bestFit="1" customWidth="1"/>
    <col min="13" max="13" width="14.109375" bestFit="1" customWidth="1"/>
    <col min="14" max="15" width="15.44140625" bestFit="1" customWidth="1"/>
  </cols>
  <sheetData>
    <row r="1" spans="1:11" ht="15" thickBot="1" x14ac:dyDescent="0.35">
      <c r="A1" s="213" t="s">
        <v>2</v>
      </c>
      <c r="B1" s="211" t="s">
        <v>506</v>
      </c>
      <c r="C1" s="211" t="s">
        <v>507</v>
      </c>
      <c r="D1" s="211" t="s">
        <v>512</v>
      </c>
      <c r="E1" s="211" t="s">
        <v>508</v>
      </c>
      <c r="F1" s="211" t="s">
        <v>510</v>
      </c>
      <c r="G1" s="211" t="s">
        <v>509</v>
      </c>
      <c r="H1" s="211" t="s">
        <v>513</v>
      </c>
      <c r="I1" s="212" t="s">
        <v>511</v>
      </c>
      <c r="J1" s="80"/>
      <c r="K1" s="80"/>
    </row>
    <row r="2" spans="1:11" x14ac:dyDescent="0.3">
      <c r="A2" s="214" t="s">
        <v>502</v>
      </c>
      <c r="B2" s="208">
        <v>920580</v>
      </c>
      <c r="C2" s="208">
        <v>49368.28</v>
      </c>
      <c r="D2" s="208">
        <v>1636363.64</v>
      </c>
      <c r="E2" s="208">
        <v>886457.84</v>
      </c>
      <c r="F2" s="208">
        <v>220634.38</v>
      </c>
      <c r="G2" s="208">
        <v>123050.22</v>
      </c>
      <c r="H2" s="208">
        <v>2400000</v>
      </c>
      <c r="I2" s="219">
        <v>141579.96</v>
      </c>
      <c r="J2" s="80"/>
      <c r="K2" s="80"/>
    </row>
    <row r="3" spans="1:11" x14ac:dyDescent="0.3">
      <c r="A3" s="214" t="s">
        <v>1</v>
      </c>
      <c r="B3" s="208">
        <v>3515760</v>
      </c>
      <c r="C3" s="208">
        <v>182540.4</v>
      </c>
      <c r="D3" s="208">
        <v>4972727.2699999996</v>
      </c>
      <c r="E3" s="208">
        <v>3224307.72</v>
      </c>
      <c r="F3" s="208">
        <v>1268946.25</v>
      </c>
      <c r="G3" s="208">
        <v>708536.96</v>
      </c>
      <c r="H3" s="208">
        <v>8345454.5499999998</v>
      </c>
      <c r="I3" s="219">
        <v>815233.28</v>
      </c>
      <c r="J3" s="80"/>
      <c r="K3" s="80"/>
    </row>
    <row r="4" spans="1:11" ht="15" thickBot="1" x14ac:dyDescent="0.35">
      <c r="A4" s="214"/>
      <c r="B4" s="209"/>
      <c r="C4" s="209"/>
      <c r="D4" s="209"/>
      <c r="E4" s="209"/>
      <c r="F4" s="209"/>
      <c r="G4" s="209"/>
      <c r="H4" s="209"/>
      <c r="I4" s="210"/>
      <c r="J4" s="80"/>
      <c r="K4" s="80"/>
    </row>
    <row r="5" spans="1:11" ht="15" thickBot="1" x14ac:dyDescent="0.35">
      <c r="A5" s="215" t="s">
        <v>503</v>
      </c>
      <c r="B5" s="211" t="s">
        <v>506</v>
      </c>
      <c r="C5" s="211" t="s">
        <v>507</v>
      </c>
      <c r="D5" s="211" t="s">
        <v>512</v>
      </c>
      <c r="E5" s="211" t="s">
        <v>508</v>
      </c>
      <c r="F5" s="211" t="s">
        <v>510</v>
      </c>
      <c r="G5" s="211" t="s">
        <v>509</v>
      </c>
      <c r="H5" s="211" t="s">
        <v>513</v>
      </c>
      <c r="I5" s="212" t="s">
        <v>511</v>
      </c>
      <c r="J5" s="80"/>
      <c r="K5" s="80"/>
    </row>
    <row r="6" spans="1:11" x14ac:dyDescent="0.3">
      <c r="A6" s="214" t="s">
        <v>504</v>
      </c>
      <c r="B6" s="208">
        <v>5106660</v>
      </c>
      <c r="C6" s="208">
        <v>2397695.9500000002</v>
      </c>
      <c r="D6" s="208">
        <v>4972727.2699999996</v>
      </c>
      <c r="E6" s="208">
        <v>3931561.7</v>
      </c>
      <c r="F6" s="208">
        <v>1268946.25</v>
      </c>
      <c r="G6" s="208">
        <v>1225349.8400000001</v>
      </c>
      <c r="H6" s="208">
        <v>12818181.82</v>
      </c>
      <c r="I6" s="219">
        <v>1361086.85</v>
      </c>
      <c r="J6" s="80"/>
      <c r="K6" s="80"/>
    </row>
    <row r="7" spans="1:11" x14ac:dyDescent="0.3">
      <c r="A7" s="214" t="s">
        <v>3</v>
      </c>
      <c r="B7" s="208">
        <v>25176300</v>
      </c>
      <c r="C7" s="208">
        <v>1750388.79</v>
      </c>
      <c r="D7" s="208">
        <v>52318181.82</v>
      </c>
      <c r="E7" s="208">
        <v>24759533.59</v>
      </c>
      <c r="F7" s="208">
        <v>9281325.6300000008</v>
      </c>
      <c r="G7" s="208">
        <v>5319784.24</v>
      </c>
      <c r="H7" s="208">
        <v>96490909.090000004</v>
      </c>
      <c r="I7" s="219">
        <v>7409336.0199999996</v>
      </c>
      <c r="J7" s="80"/>
      <c r="K7" s="80"/>
    </row>
    <row r="8" spans="1:11" x14ac:dyDescent="0.3">
      <c r="A8" s="214" t="s">
        <v>4</v>
      </c>
      <c r="B8" s="208">
        <v>32984955</v>
      </c>
      <c r="C8" s="208">
        <v>1729099.26</v>
      </c>
      <c r="D8" s="208">
        <v>69990909.090000004</v>
      </c>
      <c r="E8" s="208">
        <v>32349291.07</v>
      </c>
      <c r="F8" s="208">
        <v>11675596.560000001</v>
      </c>
      <c r="G8" s="208">
        <v>5502838.3200000003</v>
      </c>
      <c r="H8" s="208">
        <v>129654545.45</v>
      </c>
      <c r="I8" s="219">
        <v>6383371.7800000003</v>
      </c>
      <c r="J8" s="80"/>
      <c r="K8" s="80"/>
    </row>
    <row r="9" spans="1:11" x14ac:dyDescent="0.3">
      <c r="A9" s="214" t="s">
        <v>0</v>
      </c>
      <c r="B9" s="208">
        <v>26010540</v>
      </c>
      <c r="C9" s="208">
        <v>1353455.52</v>
      </c>
      <c r="D9" s="208">
        <v>49954545.450000003</v>
      </c>
      <c r="E9" s="208">
        <v>27241100.079999998</v>
      </c>
      <c r="F9" s="208">
        <v>9117838.4399999995</v>
      </c>
      <c r="G9" s="208">
        <v>5035412.46</v>
      </c>
      <c r="H9" s="208">
        <v>91909090.909999996</v>
      </c>
      <c r="I9" s="219">
        <v>5802128.2800000003</v>
      </c>
      <c r="J9" s="80"/>
      <c r="K9" s="80"/>
    </row>
    <row r="10" spans="1:11" x14ac:dyDescent="0.3">
      <c r="A10" s="214" t="s">
        <v>1</v>
      </c>
      <c r="B10" s="208">
        <v>26262135</v>
      </c>
      <c r="C10" s="208">
        <v>1348076.22</v>
      </c>
      <c r="D10" s="208">
        <v>56281818.18</v>
      </c>
      <c r="E10" s="208">
        <v>26473443.93</v>
      </c>
      <c r="F10" s="208">
        <v>11802050</v>
      </c>
      <c r="G10" s="208">
        <v>6518358.8399999999</v>
      </c>
      <c r="H10" s="208">
        <v>106745454.55</v>
      </c>
      <c r="I10" s="219">
        <v>5682776.6799999997</v>
      </c>
      <c r="J10" s="80"/>
      <c r="K10" s="80"/>
    </row>
    <row r="11" spans="1:11" x14ac:dyDescent="0.3">
      <c r="A11" s="214" t="s">
        <v>5</v>
      </c>
      <c r="B11" s="208">
        <v>2872650</v>
      </c>
      <c r="C11" s="208">
        <v>125611.08</v>
      </c>
      <c r="D11" s="208">
        <v>7209090.9100000001</v>
      </c>
      <c r="E11" s="208">
        <v>3013429.99</v>
      </c>
      <c r="F11" s="208">
        <v>1588437.5</v>
      </c>
      <c r="G11" s="208">
        <v>748743.84</v>
      </c>
      <c r="H11" s="208">
        <v>14127272.73</v>
      </c>
      <c r="I11" s="219">
        <v>850634.2</v>
      </c>
      <c r="J11" s="80"/>
      <c r="K11" s="80"/>
    </row>
    <row r="12" spans="1:11" ht="15" thickBot="1" x14ac:dyDescent="0.35">
      <c r="A12" s="216" t="s">
        <v>505</v>
      </c>
      <c r="B12" s="220">
        <v>456600</v>
      </c>
      <c r="C12" s="220">
        <v>10306.14</v>
      </c>
      <c r="D12" s="220">
        <v>890909.09</v>
      </c>
      <c r="E12" s="220">
        <v>100514.52</v>
      </c>
      <c r="F12" s="220">
        <v>157880.94</v>
      </c>
      <c r="G12" s="220">
        <v>87232.14</v>
      </c>
      <c r="H12" s="220">
        <v>1636363.64</v>
      </c>
      <c r="I12" s="180">
        <v>508068.21</v>
      </c>
      <c r="J12" s="80"/>
      <c r="K12" s="80"/>
    </row>
    <row r="13" spans="1:11" x14ac:dyDescent="0.3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</row>
    <row r="14" spans="1:11" x14ac:dyDescent="0.3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</row>
  </sheetData>
  <phoneticPr fontId="1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FCF6-4BFE-4F28-AD07-B4A93B8C628A}">
  <sheetPr>
    <tabColor rgb="FF0070C0"/>
  </sheetPr>
  <dimension ref="A1:U68"/>
  <sheetViews>
    <sheetView tabSelected="1" topLeftCell="E49" zoomScale="80" zoomScaleNormal="80" workbookViewId="0">
      <selection activeCell="S55" sqref="S55"/>
    </sheetView>
  </sheetViews>
  <sheetFormatPr defaultColWidth="8.88671875" defaultRowHeight="15" x14ac:dyDescent="0.35"/>
  <cols>
    <col min="1" max="1" width="37.33203125" style="225" customWidth="1"/>
    <col min="2" max="2" width="7" style="225" bestFit="1" customWidth="1"/>
    <col min="3" max="4" width="10.44140625" style="225" bestFit="1" customWidth="1"/>
    <col min="5" max="7" width="12.44140625" style="225" customWidth="1"/>
    <col min="8" max="8" width="10.44140625" style="225" bestFit="1" customWidth="1"/>
    <col min="9" max="9" width="13.21875" style="225" bestFit="1" customWidth="1"/>
    <col min="10" max="10" width="12.6640625" style="225" customWidth="1"/>
    <col min="11" max="11" width="21.6640625" style="225" bestFit="1" customWidth="1"/>
    <col min="12" max="12" width="27.21875" style="225" bestFit="1" customWidth="1"/>
    <col min="13" max="13" width="12.6640625" style="225" customWidth="1"/>
    <col min="14" max="18" width="14.21875" style="225" bestFit="1" customWidth="1"/>
    <col min="19" max="19" width="13.21875" style="225" bestFit="1" customWidth="1"/>
    <col min="20" max="20" width="10.44140625" style="225" bestFit="1" customWidth="1"/>
    <col min="21" max="21" width="13.21875" style="225" bestFit="1" customWidth="1"/>
    <col min="22" max="16384" width="8.88671875" style="225"/>
  </cols>
  <sheetData>
    <row r="1" spans="1:21" ht="15.6" thickBot="1" x14ac:dyDescent="0.4">
      <c r="A1" s="221" t="s">
        <v>59</v>
      </c>
      <c r="B1" s="222" t="s">
        <v>525</v>
      </c>
      <c r="C1" s="222" t="s">
        <v>527</v>
      </c>
      <c r="D1" s="359" t="s">
        <v>528</v>
      </c>
      <c r="E1" s="224" t="s">
        <v>529</v>
      </c>
      <c r="F1" s="222" t="s">
        <v>530</v>
      </c>
      <c r="G1" s="222" t="s">
        <v>531</v>
      </c>
      <c r="H1" s="222" t="s">
        <v>6</v>
      </c>
      <c r="I1" s="223" t="s">
        <v>526</v>
      </c>
      <c r="K1" s="408" t="s">
        <v>66</v>
      </c>
      <c r="L1" s="409"/>
      <c r="N1" s="222" t="s">
        <v>525</v>
      </c>
      <c r="O1" s="222" t="s">
        <v>3</v>
      </c>
      <c r="P1" s="222" t="s">
        <v>4</v>
      </c>
      <c r="Q1" s="359" t="s">
        <v>0</v>
      </c>
      <c r="R1" s="224" t="s">
        <v>1</v>
      </c>
      <c r="S1" s="222" t="s">
        <v>5</v>
      </c>
      <c r="T1" s="222" t="s">
        <v>6</v>
      </c>
      <c r="U1" s="223" t="s">
        <v>526</v>
      </c>
    </row>
    <row r="2" spans="1:21" ht="15.6" thickBot="1" x14ac:dyDescent="0.4">
      <c r="A2" s="226" t="s">
        <v>515</v>
      </c>
      <c r="B2" s="227"/>
      <c r="C2" s="227"/>
      <c r="D2" s="373"/>
      <c r="E2" s="229">
        <v>6</v>
      </c>
      <c r="F2" s="227">
        <v>11</v>
      </c>
      <c r="G2" s="227"/>
      <c r="H2" s="227"/>
      <c r="I2" s="228"/>
      <c r="K2" s="230"/>
      <c r="L2" s="231"/>
      <c r="N2" s="232"/>
      <c r="O2" s="233"/>
      <c r="P2" s="233"/>
      <c r="Q2" s="360"/>
      <c r="R2" s="232"/>
      <c r="S2" s="233"/>
      <c r="T2" s="233"/>
      <c r="U2" s="234"/>
    </row>
    <row r="3" spans="1:21" ht="15" customHeight="1" thickBot="1" x14ac:dyDescent="0.4">
      <c r="A3" s="422" t="s">
        <v>31</v>
      </c>
      <c r="B3" s="423"/>
      <c r="C3" s="423"/>
      <c r="D3" s="423"/>
      <c r="E3" s="424"/>
      <c r="F3" s="425"/>
      <c r="G3" s="425"/>
      <c r="H3" s="425"/>
      <c r="I3" s="426"/>
      <c r="K3" s="406" t="s">
        <v>31</v>
      </c>
      <c r="L3" s="407"/>
      <c r="N3" s="412" t="s">
        <v>31</v>
      </c>
      <c r="O3" s="413"/>
      <c r="P3" s="414"/>
      <c r="Q3" s="414"/>
      <c r="R3" s="399"/>
      <c r="S3" s="400"/>
      <c r="T3" s="400"/>
      <c r="U3" s="401"/>
    </row>
    <row r="4" spans="1:21" ht="15" customHeight="1" thickBot="1" x14ac:dyDescent="0.4">
      <c r="A4" s="354" t="s">
        <v>8</v>
      </c>
      <c r="B4" s="396"/>
      <c r="C4" s="397"/>
      <c r="D4" s="397"/>
      <c r="E4" s="396"/>
      <c r="F4" s="397"/>
      <c r="G4" s="397"/>
      <c r="H4" s="397"/>
      <c r="I4" s="398"/>
      <c r="K4" s="235" t="s">
        <v>8</v>
      </c>
      <c r="L4" s="236"/>
      <c r="N4" s="419" t="s">
        <v>8</v>
      </c>
      <c r="O4" s="420"/>
      <c r="P4" s="396"/>
      <c r="Q4" s="397"/>
      <c r="R4" s="396"/>
      <c r="S4" s="397"/>
      <c r="T4" s="397"/>
      <c r="U4" s="398"/>
    </row>
    <row r="5" spans="1:21" ht="30.6" thickBot="1" x14ac:dyDescent="0.4">
      <c r="A5" s="237" t="s">
        <v>34</v>
      </c>
      <c r="B5" s="238"/>
      <c r="C5" s="238"/>
      <c r="D5" s="245"/>
      <c r="E5" s="240"/>
      <c r="F5" s="241"/>
      <c r="G5" s="238"/>
      <c r="H5" s="238"/>
      <c r="I5" s="239"/>
      <c r="K5" s="242">
        <f>SUM(E7+F7)</f>
        <v>14908</v>
      </c>
      <c r="L5" s="243">
        <f>SUM(Q7+R7)</f>
        <v>3311202</v>
      </c>
      <c r="N5" s="244"/>
      <c r="O5" s="238"/>
      <c r="P5" s="245"/>
      <c r="Q5" s="361"/>
      <c r="R5" s="246"/>
      <c r="S5" s="238"/>
      <c r="T5" s="238"/>
      <c r="U5" s="239"/>
    </row>
    <row r="6" spans="1:21" s="253" customFormat="1" ht="29.4" customHeight="1" thickBot="1" x14ac:dyDescent="0.4">
      <c r="A6" s="247" t="s">
        <v>33</v>
      </c>
      <c r="B6" s="248"/>
      <c r="C6" s="248"/>
      <c r="D6" s="374"/>
      <c r="E6" s="250"/>
      <c r="F6" s="251"/>
      <c r="G6" s="252"/>
      <c r="H6" s="248"/>
      <c r="I6" s="249"/>
      <c r="K6" s="254"/>
      <c r="L6" s="254"/>
      <c r="N6" s="255"/>
      <c r="O6" s="248"/>
      <c r="P6" s="248"/>
      <c r="Q6" s="362"/>
      <c r="R6" s="251"/>
      <c r="S6" s="252"/>
      <c r="T6" s="248"/>
      <c r="U6" s="249"/>
    </row>
    <row r="7" spans="1:21" s="253" customFormat="1" ht="29.4" customHeight="1" thickBot="1" x14ac:dyDescent="0.4">
      <c r="A7" s="256" t="s">
        <v>39</v>
      </c>
      <c r="B7" s="257"/>
      <c r="C7" s="257"/>
      <c r="D7" s="262"/>
      <c r="E7" s="313">
        <v>3238</v>
      </c>
      <c r="F7" s="313">
        <v>11670</v>
      </c>
      <c r="G7" s="260"/>
      <c r="H7" s="257"/>
      <c r="I7" s="258"/>
      <c r="N7" s="261"/>
      <c r="O7" s="257"/>
      <c r="P7" s="262"/>
      <c r="Q7" s="363">
        <v>719139</v>
      </c>
      <c r="R7" s="263">
        <v>2592063</v>
      </c>
      <c r="S7" s="260"/>
      <c r="T7" s="257"/>
      <c r="U7" s="258"/>
    </row>
    <row r="8" spans="1:21" ht="15" customHeight="1" thickBot="1" x14ac:dyDescent="0.4">
      <c r="A8" s="354" t="s">
        <v>10</v>
      </c>
      <c r="B8" s="396"/>
      <c r="C8" s="397"/>
      <c r="D8" s="397"/>
      <c r="E8" s="396"/>
      <c r="F8" s="397"/>
      <c r="G8" s="397"/>
      <c r="H8" s="397"/>
      <c r="I8" s="398"/>
      <c r="K8" s="235" t="s">
        <v>67</v>
      </c>
      <c r="L8" s="236"/>
      <c r="N8" s="419" t="s">
        <v>67</v>
      </c>
      <c r="O8" s="420"/>
      <c r="P8" s="396"/>
      <c r="Q8" s="397"/>
      <c r="R8" s="396"/>
      <c r="S8" s="397"/>
      <c r="T8" s="397"/>
      <c r="U8" s="398"/>
    </row>
    <row r="9" spans="1:21" ht="30.6" thickBot="1" x14ac:dyDescent="0.4">
      <c r="A9" s="237" t="s">
        <v>14</v>
      </c>
      <c r="B9" s="238"/>
      <c r="C9" s="238"/>
      <c r="D9" s="245"/>
      <c r="E9" s="240"/>
      <c r="F9" s="240"/>
      <c r="G9" s="264"/>
      <c r="H9" s="238"/>
      <c r="I9" s="239"/>
      <c r="K9" s="265">
        <f>SUM(E10+F10)</f>
        <v>2291</v>
      </c>
      <c r="L9" s="243">
        <f>SUM(Q10+R10)</f>
        <v>927298</v>
      </c>
      <c r="N9" s="244"/>
      <c r="O9" s="238"/>
      <c r="P9" s="245"/>
      <c r="Q9" s="361"/>
      <c r="R9" s="240"/>
      <c r="S9" s="264"/>
      <c r="T9" s="238"/>
      <c r="U9" s="239"/>
    </row>
    <row r="10" spans="1:21" ht="30.6" thickBot="1" x14ac:dyDescent="0.4">
      <c r="A10" s="266" t="s">
        <v>40</v>
      </c>
      <c r="B10" s="267"/>
      <c r="C10" s="267"/>
      <c r="D10" s="271"/>
      <c r="E10" s="313">
        <v>339</v>
      </c>
      <c r="F10" s="313">
        <v>1952</v>
      </c>
      <c r="G10" s="269"/>
      <c r="H10" s="267"/>
      <c r="I10" s="268"/>
      <c r="N10" s="270"/>
      <c r="O10" s="267"/>
      <c r="P10" s="271"/>
      <c r="Q10" s="363">
        <v>137350</v>
      </c>
      <c r="R10" s="263">
        <v>789948</v>
      </c>
      <c r="S10" s="269"/>
      <c r="T10" s="267"/>
      <c r="U10" s="268"/>
    </row>
    <row r="11" spans="1:21" ht="15" customHeight="1" thickBot="1" x14ac:dyDescent="0.4">
      <c r="A11" s="355" t="s">
        <v>11</v>
      </c>
      <c r="B11" s="396"/>
      <c r="C11" s="397"/>
      <c r="D11" s="397"/>
      <c r="E11" s="396"/>
      <c r="F11" s="397"/>
      <c r="G11" s="397"/>
      <c r="H11" s="397"/>
      <c r="I11" s="398"/>
      <c r="K11" s="272" t="s">
        <v>11</v>
      </c>
      <c r="L11" s="273"/>
      <c r="N11" s="419" t="s">
        <v>11</v>
      </c>
      <c r="O11" s="420"/>
      <c r="P11" s="396"/>
      <c r="Q11" s="397"/>
      <c r="R11" s="396"/>
      <c r="S11" s="397"/>
      <c r="T11" s="397"/>
      <c r="U11" s="398"/>
    </row>
    <row r="12" spans="1:21" ht="30.6" thickBot="1" x14ac:dyDescent="0.4">
      <c r="A12" s="237" t="s">
        <v>15</v>
      </c>
      <c r="B12" s="238"/>
      <c r="C12" s="238"/>
      <c r="D12" s="245"/>
      <c r="E12" s="240"/>
      <c r="F12" s="274"/>
      <c r="G12" s="238"/>
      <c r="H12" s="238"/>
      <c r="I12" s="239"/>
      <c r="K12" s="275"/>
      <c r="L12" s="275"/>
      <c r="N12" s="244"/>
      <c r="O12" s="238"/>
      <c r="P12" s="245"/>
      <c r="Q12" s="361"/>
      <c r="R12" s="276"/>
      <c r="S12" s="238"/>
      <c r="T12" s="238"/>
      <c r="U12" s="239"/>
    </row>
    <row r="13" spans="1:21" ht="30.6" thickBot="1" x14ac:dyDescent="0.4">
      <c r="A13" s="277" t="s">
        <v>16</v>
      </c>
      <c r="B13" s="267"/>
      <c r="C13" s="267"/>
      <c r="D13" s="271"/>
      <c r="E13" s="278"/>
      <c r="F13" s="280"/>
      <c r="G13" s="269"/>
      <c r="H13" s="267"/>
      <c r="I13" s="268"/>
      <c r="K13" s="275"/>
      <c r="L13" s="275"/>
      <c r="N13" s="270"/>
      <c r="O13" s="267"/>
      <c r="P13" s="267"/>
      <c r="Q13" s="329"/>
      <c r="R13" s="280"/>
      <c r="S13" s="269"/>
      <c r="T13" s="267"/>
      <c r="U13" s="268"/>
    </row>
    <row r="14" spans="1:21" ht="15" customHeight="1" thickBot="1" x14ac:dyDescent="0.4">
      <c r="A14" s="355" t="s">
        <v>12</v>
      </c>
      <c r="B14" s="396"/>
      <c r="C14" s="397"/>
      <c r="D14" s="397"/>
      <c r="E14" s="396"/>
      <c r="F14" s="397"/>
      <c r="G14" s="397"/>
      <c r="H14" s="397"/>
      <c r="I14" s="398"/>
      <c r="K14" s="272" t="s">
        <v>12</v>
      </c>
      <c r="L14" s="273"/>
      <c r="N14" s="419" t="s">
        <v>12</v>
      </c>
      <c r="O14" s="420"/>
      <c r="P14" s="396"/>
      <c r="Q14" s="397"/>
      <c r="R14" s="396"/>
      <c r="S14" s="397"/>
      <c r="T14" s="397"/>
      <c r="U14" s="398"/>
    </row>
    <row r="15" spans="1:21" ht="30.6" thickBot="1" x14ac:dyDescent="0.4">
      <c r="A15" s="237" t="s">
        <v>17</v>
      </c>
      <c r="B15" s="238"/>
      <c r="C15" s="238"/>
      <c r="D15" s="245"/>
      <c r="E15" s="240"/>
      <c r="F15" s="240"/>
      <c r="G15" s="264"/>
      <c r="H15" s="238"/>
      <c r="I15" s="239"/>
      <c r="K15" s="265">
        <f>SUM(E16+F16)</f>
        <v>6188</v>
      </c>
      <c r="L15" s="243">
        <f>SUM(Q16+R16)</f>
        <v>301418</v>
      </c>
      <c r="N15" s="244"/>
      <c r="O15" s="238"/>
      <c r="P15" s="245"/>
      <c r="Q15" s="361"/>
      <c r="R15" s="240"/>
      <c r="S15" s="264"/>
      <c r="T15" s="238"/>
      <c r="U15" s="239"/>
    </row>
    <row r="16" spans="1:21" ht="30.6" thickBot="1" x14ac:dyDescent="0.4">
      <c r="A16" s="266" t="s">
        <v>41</v>
      </c>
      <c r="B16" s="267"/>
      <c r="C16" s="267"/>
      <c r="D16" s="271"/>
      <c r="E16" s="313">
        <v>1280</v>
      </c>
      <c r="F16" s="313">
        <v>4908</v>
      </c>
      <c r="G16" s="269"/>
      <c r="H16" s="267"/>
      <c r="I16" s="268"/>
      <c r="N16" s="270"/>
      <c r="O16" s="267"/>
      <c r="P16" s="271"/>
      <c r="Q16" s="363">
        <v>62349</v>
      </c>
      <c r="R16" s="263">
        <v>239069</v>
      </c>
      <c r="S16" s="269"/>
      <c r="T16" s="267"/>
      <c r="U16" s="268"/>
    </row>
    <row r="17" spans="1:21" ht="15" customHeight="1" thickBot="1" x14ac:dyDescent="0.4">
      <c r="A17" s="355" t="s">
        <v>68</v>
      </c>
      <c r="B17" s="396"/>
      <c r="C17" s="397"/>
      <c r="D17" s="397"/>
      <c r="E17" s="396"/>
      <c r="F17" s="397"/>
      <c r="G17" s="397"/>
      <c r="H17" s="397"/>
      <c r="I17" s="398"/>
      <c r="K17" s="272" t="s">
        <v>68</v>
      </c>
      <c r="L17" s="273"/>
      <c r="N17" s="419" t="s">
        <v>68</v>
      </c>
      <c r="O17" s="420"/>
      <c r="P17" s="396"/>
      <c r="Q17" s="397"/>
      <c r="R17" s="396"/>
      <c r="S17" s="397"/>
      <c r="T17" s="397"/>
      <c r="U17" s="398"/>
    </row>
    <row r="18" spans="1:21" ht="30.6" thickBot="1" x14ac:dyDescent="0.4">
      <c r="A18" s="281" t="s">
        <v>18</v>
      </c>
      <c r="B18" s="238"/>
      <c r="C18" s="238"/>
      <c r="D18" s="245"/>
      <c r="E18" s="240"/>
      <c r="F18" s="240"/>
      <c r="G18" s="264"/>
      <c r="H18" s="238"/>
      <c r="I18" s="239"/>
      <c r="K18" s="265">
        <f>SUM(E19+F19)</f>
        <v>6188</v>
      </c>
      <c r="L18" s="243">
        <f>SUM(Q19+R19)</f>
        <v>316701</v>
      </c>
      <c r="N18" s="244"/>
      <c r="O18" s="238"/>
      <c r="P18" s="245"/>
      <c r="Q18" s="361"/>
      <c r="R18" s="240"/>
      <c r="S18" s="264"/>
      <c r="T18" s="238"/>
      <c r="U18" s="239"/>
    </row>
    <row r="19" spans="1:21" ht="30.6" thickBot="1" x14ac:dyDescent="0.4">
      <c r="A19" s="282" t="s">
        <v>42</v>
      </c>
      <c r="B19" s="283"/>
      <c r="C19" s="283"/>
      <c r="D19" s="288"/>
      <c r="E19" s="259">
        <v>1280</v>
      </c>
      <c r="F19" s="259">
        <v>4908</v>
      </c>
      <c r="G19" s="283"/>
      <c r="H19" s="283"/>
      <c r="I19" s="284"/>
      <c r="K19" s="285">
        <f>SUM(K5+K9+K15+K18)</f>
        <v>29575</v>
      </c>
      <c r="L19" s="286">
        <f>SUM(L5+L9+L15+L18)</f>
        <v>4856619</v>
      </c>
      <c r="N19" s="287"/>
      <c r="O19" s="283"/>
      <c r="P19" s="288"/>
      <c r="Q19" s="364">
        <v>65510</v>
      </c>
      <c r="R19" s="289">
        <v>251191</v>
      </c>
      <c r="S19" s="283"/>
      <c r="T19" s="283"/>
      <c r="U19" s="284"/>
    </row>
    <row r="20" spans="1:21" ht="15.6" thickBot="1" x14ac:dyDescent="0.4">
      <c r="A20" s="221" t="s">
        <v>59</v>
      </c>
      <c r="B20" s="222" t="s">
        <v>525</v>
      </c>
      <c r="C20" s="222" t="s">
        <v>3</v>
      </c>
      <c r="D20" s="359" t="s">
        <v>4</v>
      </c>
      <c r="E20" s="224" t="s">
        <v>0</v>
      </c>
      <c r="F20" s="222" t="s">
        <v>1</v>
      </c>
      <c r="G20" s="222" t="s">
        <v>5</v>
      </c>
      <c r="H20" s="222" t="s">
        <v>6</v>
      </c>
      <c r="I20" s="223" t="s">
        <v>526</v>
      </c>
      <c r="K20" s="275"/>
      <c r="L20" s="275"/>
      <c r="N20" s="222" t="s">
        <v>525</v>
      </c>
      <c r="O20" s="222" t="s">
        <v>3</v>
      </c>
      <c r="P20" s="222" t="s">
        <v>4</v>
      </c>
      <c r="Q20" s="359" t="s">
        <v>0</v>
      </c>
      <c r="R20" s="224" t="s">
        <v>1</v>
      </c>
      <c r="S20" s="222" t="s">
        <v>5</v>
      </c>
      <c r="T20" s="222" t="s">
        <v>6</v>
      </c>
      <c r="U20" s="223" t="s">
        <v>526</v>
      </c>
    </row>
    <row r="21" spans="1:21" ht="15.6" thickBot="1" x14ac:dyDescent="0.4">
      <c r="A21" s="226" t="s">
        <v>515</v>
      </c>
      <c r="B21" s="227">
        <v>9</v>
      </c>
      <c r="C21" s="227">
        <v>55</v>
      </c>
      <c r="D21" s="373">
        <v>71</v>
      </c>
      <c r="E21" s="229">
        <v>55</v>
      </c>
      <c r="F21" s="227">
        <v>40</v>
      </c>
      <c r="G21" s="227">
        <v>2</v>
      </c>
      <c r="H21" s="227">
        <v>0</v>
      </c>
      <c r="I21" s="228">
        <v>1</v>
      </c>
      <c r="K21" s="275"/>
      <c r="L21" s="275"/>
      <c r="N21" s="290"/>
      <c r="O21" s="291"/>
      <c r="P21" s="291"/>
      <c r="Q21" s="291"/>
      <c r="R21" s="290"/>
      <c r="S21" s="291"/>
      <c r="T21" s="291"/>
      <c r="U21" s="292"/>
    </row>
    <row r="22" spans="1:21" ht="14.4" customHeight="1" thickBot="1" x14ac:dyDescent="0.4">
      <c r="A22" s="427" t="s">
        <v>32</v>
      </c>
      <c r="B22" s="428"/>
      <c r="C22" s="428"/>
      <c r="D22" s="428"/>
      <c r="E22" s="429"/>
      <c r="F22" s="430"/>
      <c r="G22" s="430"/>
      <c r="H22" s="430"/>
      <c r="I22" s="431"/>
      <c r="K22" s="410" t="s">
        <v>32</v>
      </c>
      <c r="L22" s="411"/>
      <c r="M22" s="293"/>
      <c r="N22" s="427" t="s">
        <v>32</v>
      </c>
      <c r="O22" s="428"/>
      <c r="P22" s="428"/>
      <c r="Q22" s="428"/>
      <c r="R22" s="294"/>
      <c r="S22" s="295"/>
      <c r="T22" s="295"/>
      <c r="U22" s="296"/>
    </row>
    <row r="23" spans="1:21" ht="15" customHeight="1" thickBot="1" x14ac:dyDescent="0.4">
      <c r="A23" s="356" t="s">
        <v>8</v>
      </c>
      <c r="B23" s="396"/>
      <c r="C23" s="397"/>
      <c r="D23" s="397"/>
      <c r="E23" s="396"/>
      <c r="F23" s="397"/>
      <c r="G23" s="397"/>
      <c r="H23" s="397"/>
      <c r="I23" s="398"/>
      <c r="K23" s="297" t="s">
        <v>8</v>
      </c>
      <c r="L23" s="298"/>
      <c r="N23" s="415" t="s">
        <v>8</v>
      </c>
      <c r="O23" s="416"/>
      <c r="P23" s="396"/>
      <c r="Q23" s="397"/>
      <c r="R23" s="396"/>
      <c r="S23" s="397"/>
      <c r="T23" s="397"/>
      <c r="U23" s="398"/>
    </row>
    <row r="24" spans="1:21" ht="30.6" thickBot="1" x14ac:dyDescent="0.4">
      <c r="A24" s="299" t="s">
        <v>19</v>
      </c>
      <c r="B24" s="300"/>
      <c r="C24" s="300"/>
      <c r="D24" s="375"/>
      <c r="E24" s="246"/>
      <c r="F24" s="238"/>
      <c r="G24" s="238"/>
      <c r="H24" s="238"/>
      <c r="I24" s="239"/>
      <c r="K24" s="265">
        <f>SUM(B29)</f>
        <v>18852</v>
      </c>
      <c r="L24" s="243">
        <f>SUM(N29)</f>
        <v>3293405</v>
      </c>
      <c r="N24" s="300"/>
      <c r="O24" s="300"/>
      <c r="P24" s="301"/>
      <c r="Q24" s="275"/>
      <c r="R24" s="244"/>
      <c r="S24" s="238"/>
      <c r="T24" s="238"/>
      <c r="U24" s="239"/>
    </row>
    <row r="25" spans="1:21" ht="29.4" customHeight="1" thickBot="1" x14ac:dyDescent="0.4">
      <c r="A25" s="247" t="s">
        <v>58</v>
      </c>
      <c r="B25" s="238"/>
      <c r="C25" s="238"/>
      <c r="D25" s="245"/>
      <c r="E25" s="300"/>
      <c r="F25" s="269"/>
      <c r="G25" s="302"/>
      <c r="H25" s="302"/>
      <c r="I25" s="303"/>
      <c r="K25" s="265">
        <f>SUM(C30)</f>
        <v>3113</v>
      </c>
      <c r="L25" s="243">
        <f>SUM(O30)</f>
        <v>543494.88</v>
      </c>
      <c r="N25" s="244"/>
      <c r="O25" s="238"/>
      <c r="P25" s="245"/>
      <c r="Q25" s="365"/>
      <c r="R25" s="270"/>
      <c r="S25" s="302"/>
      <c r="T25" s="302"/>
      <c r="U25" s="303"/>
    </row>
    <row r="26" spans="1:21" ht="30.6" thickBot="1" x14ac:dyDescent="0.4">
      <c r="A26" s="247" t="s">
        <v>35</v>
      </c>
      <c r="B26" s="302"/>
      <c r="C26" s="302"/>
      <c r="D26" s="307"/>
      <c r="E26" s="304"/>
      <c r="F26" s="300"/>
      <c r="G26" s="269"/>
      <c r="H26" s="302"/>
      <c r="I26" s="303"/>
      <c r="K26" s="265">
        <f>SUM(C31+D31+E31+F31)</f>
        <v>418616</v>
      </c>
      <c r="L26" s="243">
        <f>SUM(O31+P31+Q31+R31)</f>
        <v>25435116.57</v>
      </c>
      <c r="N26" s="305"/>
      <c r="O26" s="302"/>
      <c r="P26" s="302"/>
      <c r="Q26" s="245"/>
      <c r="R26" s="300"/>
      <c r="S26" s="269"/>
      <c r="T26" s="302"/>
      <c r="U26" s="303"/>
    </row>
    <row r="27" spans="1:21" ht="30.6" thickBot="1" x14ac:dyDescent="0.4">
      <c r="A27" s="247" t="s">
        <v>36</v>
      </c>
      <c r="B27" s="302"/>
      <c r="C27" s="302"/>
      <c r="D27" s="307"/>
      <c r="E27" s="305"/>
      <c r="F27" s="245"/>
      <c r="G27" s="300"/>
      <c r="H27" s="306"/>
      <c r="I27" s="268"/>
      <c r="K27" s="265">
        <f>SUM(G32)</f>
        <v>11911</v>
      </c>
      <c r="L27" s="243">
        <f>SUM(S32)</f>
        <v>705622</v>
      </c>
      <c r="N27" s="305"/>
      <c r="O27" s="302"/>
      <c r="P27" s="302"/>
      <c r="Q27" s="307"/>
      <c r="R27" s="304"/>
      <c r="S27" s="300"/>
      <c r="T27" s="306"/>
      <c r="U27" s="268"/>
    </row>
    <row r="28" spans="1:21" ht="30.6" thickBot="1" x14ac:dyDescent="0.4">
      <c r="A28" s="247" t="s">
        <v>37</v>
      </c>
      <c r="B28" s="267"/>
      <c r="C28" s="302"/>
      <c r="D28" s="307"/>
      <c r="E28" s="305"/>
      <c r="F28" s="302"/>
      <c r="G28" s="238"/>
      <c r="H28" s="307"/>
      <c r="I28" s="300"/>
      <c r="K28" s="265">
        <f>SUM(I33)</f>
        <v>2067</v>
      </c>
      <c r="L28" s="243">
        <f>SUM(U33)</f>
        <v>125597.38</v>
      </c>
      <c r="N28" s="270"/>
      <c r="O28" s="302"/>
      <c r="P28" s="302"/>
      <c r="Q28" s="307"/>
      <c r="R28" s="305"/>
      <c r="S28" s="238"/>
      <c r="T28" s="307"/>
      <c r="U28" s="300"/>
    </row>
    <row r="29" spans="1:21" ht="30.6" thickBot="1" x14ac:dyDescent="0.4">
      <c r="A29" s="308" t="s">
        <v>43</v>
      </c>
      <c r="B29" s="259">
        <v>18852</v>
      </c>
      <c r="C29" s="269"/>
      <c r="D29" s="271"/>
      <c r="E29" s="270"/>
      <c r="F29" s="267"/>
      <c r="G29" s="267"/>
      <c r="H29" s="267"/>
      <c r="I29" s="309"/>
      <c r="K29" s="310">
        <f>SUM(K24+K25+K26+K27+K28)</f>
        <v>454559</v>
      </c>
      <c r="L29" s="311">
        <f>SUM(L24+L25+L26+L27+L28)</f>
        <v>30103235.829999998</v>
      </c>
      <c r="N29" s="289">
        <v>3293405</v>
      </c>
      <c r="O29" s="269"/>
      <c r="P29" s="267"/>
      <c r="Q29" s="271"/>
      <c r="R29" s="270"/>
      <c r="S29" s="267"/>
      <c r="T29" s="302"/>
      <c r="U29" s="309"/>
    </row>
    <row r="30" spans="1:21" ht="45.6" thickBot="1" x14ac:dyDescent="0.4">
      <c r="A30" s="308" t="s">
        <v>514</v>
      </c>
      <c r="B30" s="312"/>
      <c r="C30" s="313">
        <v>3113</v>
      </c>
      <c r="D30" s="366"/>
      <c r="E30" s="270"/>
      <c r="F30" s="267"/>
      <c r="G30" s="302"/>
      <c r="H30" s="302"/>
      <c r="I30" s="309"/>
      <c r="N30" s="304"/>
      <c r="O30" s="289">
        <v>543494.88</v>
      </c>
      <c r="P30" s="269"/>
      <c r="Q30" s="271"/>
      <c r="R30" s="270"/>
      <c r="S30" s="302"/>
      <c r="T30" s="302"/>
      <c r="U30" s="309"/>
    </row>
    <row r="31" spans="1:21" ht="45.6" thickBot="1" x14ac:dyDescent="0.4">
      <c r="A31" s="314" t="s">
        <v>52</v>
      </c>
      <c r="B31" s="312"/>
      <c r="C31" s="259">
        <v>88953</v>
      </c>
      <c r="D31" s="371">
        <v>120601</v>
      </c>
      <c r="E31" s="259">
        <v>108112</v>
      </c>
      <c r="F31" s="259">
        <v>100950</v>
      </c>
      <c r="G31" s="241"/>
      <c r="H31" s="238"/>
      <c r="I31" s="315"/>
      <c r="N31" s="316"/>
      <c r="O31" s="317">
        <v>5404774</v>
      </c>
      <c r="P31" s="289">
        <v>7327731.5700000003</v>
      </c>
      <c r="Q31" s="364">
        <v>6568895</v>
      </c>
      <c r="R31" s="289">
        <v>6133716</v>
      </c>
      <c r="S31" s="241"/>
      <c r="T31" s="302"/>
      <c r="U31" s="315"/>
    </row>
    <row r="32" spans="1:21" ht="45.6" thickBot="1" x14ac:dyDescent="0.4">
      <c r="A32" s="314" t="s">
        <v>53</v>
      </c>
      <c r="B32" s="318"/>
      <c r="C32" s="238"/>
      <c r="D32" s="245"/>
      <c r="E32" s="244"/>
      <c r="F32" s="245"/>
      <c r="G32" s="259">
        <v>11911</v>
      </c>
      <c r="H32" s="306"/>
      <c r="I32" s="319"/>
      <c r="N32" s="320"/>
      <c r="O32" s="238"/>
      <c r="P32" s="238"/>
      <c r="Q32" s="245"/>
      <c r="R32" s="304"/>
      <c r="S32" s="289">
        <v>705622</v>
      </c>
      <c r="T32" s="306"/>
      <c r="U32" s="319"/>
    </row>
    <row r="33" spans="1:21" ht="30.6" thickBot="1" x14ac:dyDescent="0.4">
      <c r="A33" s="256" t="s">
        <v>44</v>
      </c>
      <c r="B33" s="321"/>
      <c r="C33" s="267"/>
      <c r="D33" s="271"/>
      <c r="E33" s="270"/>
      <c r="F33" s="267"/>
      <c r="G33" s="322"/>
      <c r="H33" s="271"/>
      <c r="I33" s="313">
        <v>2067</v>
      </c>
      <c r="N33" s="323"/>
      <c r="O33" s="267"/>
      <c r="P33" s="267"/>
      <c r="Q33" s="271"/>
      <c r="R33" s="270"/>
      <c r="S33" s="322"/>
      <c r="T33" s="271"/>
      <c r="U33" s="263">
        <v>125597.38</v>
      </c>
    </row>
    <row r="34" spans="1:21" ht="15" customHeight="1" thickBot="1" x14ac:dyDescent="0.4">
      <c r="A34" s="356" t="s">
        <v>10</v>
      </c>
      <c r="B34" s="396"/>
      <c r="C34" s="397"/>
      <c r="D34" s="397"/>
      <c r="E34" s="396"/>
      <c r="F34" s="397"/>
      <c r="G34" s="397"/>
      <c r="H34" s="397"/>
      <c r="I34" s="398"/>
      <c r="K34" s="324" t="s">
        <v>67</v>
      </c>
      <c r="L34" s="325"/>
      <c r="N34" s="417" t="s">
        <v>67</v>
      </c>
      <c r="O34" s="418"/>
      <c r="P34" s="396"/>
      <c r="Q34" s="421"/>
      <c r="R34" s="402"/>
      <c r="S34" s="397"/>
      <c r="T34" s="397"/>
      <c r="U34" s="403"/>
    </row>
    <row r="35" spans="1:21" ht="30.6" thickBot="1" x14ac:dyDescent="0.4">
      <c r="A35" s="326" t="s">
        <v>517</v>
      </c>
      <c r="B35" s="300"/>
      <c r="C35" s="300"/>
      <c r="D35" s="275"/>
      <c r="E35" s="300"/>
      <c r="F35" s="300"/>
      <c r="G35" s="241"/>
      <c r="H35" s="245"/>
      <c r="I35" s="327" t="s">
        <v>518</v>
      </c>
      <c r="K35" s="265">
        <f>SUM(B37+C37)</f>
        <v>17417</v>
      </c>
      <c r="L35" s="243">
        <f>SUM(N37+O37)</f>
        <v>7046629</v>
      </c>
      <c r="N35" s="300"/>
      <c r="O35" s="300"/>
      <c r="P35" s="275"/>
      <c r="Q35" s="365"/>
      <c r="R35" s="300"/>
      <c r="S35" s="241"/>
      <c r="T35" s="245"/>
      <c r="U35" s="327" t="s">
        <v>518</v>
      </c>
    </row>
    <row r="36" spans="1:21" ht="30.6" thickBot="1" x14ac:dyDescent="0.4">
      <c r="A36" s="328" t="s">
        <v>519</v>
      </c>
      <c r="B36" s="322"/>
      <c r="C36" s="329"/>
      <c r="D36" s="365"/>
      <c r="E36" s="246"/>
      <c r="F36" s="329"/>
      <c r="G36" s="372" t="s">
        <v>520</v>
      </c>
      <c r="H36" s="269"/>
      <c r="I36" s="279"/>
      <c r="K36" s="265">
        <f>SUM(D38+G38)</f>
        <v>20406</v>
      </c>
      <c r="L36" s="243">
        <f>SUM(P38+S38)</f>
        <v>7102379</v>
      </c>
      <c r="N36" s="322"/>
      <c r="O36" s="329"/>
      <c r="P36" s="300"/>
      <c r="Q36" s="358"/>
      <c r="R36" s="304"/>
      <c r="S36" s="327" t="s">
        <v>520</v>
      </c>
      <c r="T36" s="306"/>
      <c r="U36" s="239"/>
    </row>
    <row r="37" spans="1:21" ht="30.6" thickBot="1" x14ac:dyDescent="0.4">
      <c r="A37" s="330" t="s">
        <v>45</v>
      </c>
      <c r="B37" s="259">
        <v>3289</v>
      </c>
      <c r="C37" s="259">
        <v>14128</v>
      </c>
      <c r="D37" s="370"/>
      <c r="E37" s="305"/>
      <c r="F37" s="302"/>
      <c r="G37" s="357"/>
      <c r="H37" s="302"/>
      <c r="I37" s="303"/>
      <c r="K37" s="265">
        <f>SUM(E39+F39+I39)</f>
        <v>32427</v>
      </c>
      <c r="L37" s="243">
        <f>SUM(Q39+R39+U39)</f>
        <v>13413243</v>
      </c>
      <c r="N37" s="289">
        <v>1403684</v>
      </c>
      <c r="O37" s="289">
        <v>5642945</v>
      </c>
      <c r="P37" s="274"/>
      <c r="Q37" s="307"/>
      <c r="R37" s="305"/>
      <c r="S37" s="331"/>
      <c r="T37" s="302"/>
      <c r="U37" s="303"/>
    </row>
    <row r="38" spans="1:21" ht="30.6" thickBot="1" x14ac:dyDescent="0.4">
      <c r="A38" s="332" t="s">
        <v>46</v>
      </c>
      <c r="B38" s="322"/>
      <c r="C38" s="329"/>
      <c r="D38" s="371">
        <v>17962</v>
      </c>
      <c r="E38" s="270"/>
      <c r="F38" s="271"/>
      <c r="G38" s="259">
        <v>2444</v>
      </c>
      <c r="H38" s="306"/>
      <c r="I38" s="268"/>
      <c r="K38" s="310">
        <f>SUM(K35+K36+K37)</f>
        <v>70250</v>
      </c>
      <c r="L38" s="311">
        <f>SUM(L35+L36+L37)</f>
        <v>27562251</v>
      </c>
      <c r="N38" s="238"/>
      <c r="O38" s="245"/>
      <c r="P38" s="289">
        <v>6251832</v>
      </c>
      <c r="Q38" s="366"/>
      <c r="R38" s="368"/>
      <c r="S38" s="289">
        <v>850547</v>
      </c>
      <c r="T38" s="306"/>
      <c r="U38" s="268"/>
    </row>
    <row r="39" spans="1:21" ht="30.6" thickBot="1" x14ac:dyDescent="0.4">
      <c r="A39" s="332" t="s">
        <v>54</v>
      </c>
      <c r="B39" s="322"/>
      <c r="C39" s="322"/>
      <c r="D39" s="334"/>
      <c r="E39" s="371">
        <v>14027</v>
      </c>
      <c r="F39" s="259">
        <v>18157</v>
      </c>
      <c r="G39" s="378"/>
      <c r="H39" s="307"/>
      <c r="I39" s="259">
        <v>243</v>
      </c>
      <c r="N39" s="267"/>
      <c r="O39" s="267"/>
      <c r="P39" s="334"/>
      <c r="Q39" s="364">
        <v>5802312</v>
      </c>
      <c r="R39" s="289">
        <v>7510461</v>
      </c>
      <c r="S39" s="333"/>
      <c r="T39" s="271"/>
      <c r="U39" s="289">
        <v>100470</v>
      </c>
    </row>
    <row r="40" spans="1:21" ht="15" customHeight="1" thickBot="1" x14ac:dyDescent="0.4">
      <c r="A40" s="356" t="s">
        <v>11</v>
      </c>
      <c r="B40" s="396"/>
      <c r="C40" s="397"/>
      <c r="D40" s="397"/>
      <c r="E40" s="404"/>
      <c r="F40" s="432"/>
      <c r="G40" s="432"/>
      <c r="H40" s="432"/>
      <c r="I40" s="405"/>
      <c r="K40" s="324" t="s">
        <v>11</v>
      </c>
      <c r="L40" s="325"/>
      <c r="N40" s="415" t="s">
        <v>11</v>
      </c>
      <c r="O40" s="416"/>
      <c r="P40" s="396"/>
      <c r="Q40" s="432"/>
      <c r="R40" s="404"/>
      <c r="S40" s="397"/>
      <c r="T40" s="397"/>
      <c r="U40" s="405"/>
    </row>
    <row r="41" spans="1:21" ht="30.6" thickBot="1" x14ac:dyDescent="0.4">
      <c r="A41" s="326" t="s">
        <v>15</v>
      </c>
      <c r="B41" s="300"/>
      <c r="C41" s="300"/>
      <c r="D41" s="275"/>
      <c r="E41" s="300"/>
      <c r="F41" s="241"/>
      <c r="G41" s="238"/>
      <c r="H41" s="238"/>
      <c r="I41" s="239"/>
      <c r="K41" s="265">
        <f>SUM(B44+C44)</f>
        <v>11574</v>
      </c>
      <c r="L41" s="243">
        <f>SUM(N44+O44)</f>
        <v>646987</v>
      </c>
      <c r="N41" s="300"/>
      <c r="O41" s="300"/>
      <c r="P41" s="275"/>
      <c r="Q41" s="365"/>
      <c r="R41" s="246"/>
      <c r="S41" s="238"/>
      <c r="T41" s="238"/>
      <c r="U41" s="239"/>
    </row>
    <row r="42" spans="1:21" ht="30.6" thickBot="1" x14ac:dyDescent="0.4">
      <c r="A42" s="335" t="s">
        <v>16</v>
      </c>
      <c r="B42" s="238"/>
      <c r="C42" s="245"/>
      <c r="D42" s="365"/>
      <c r="E42" s="304"/>
      <c r="F42" s="300"/>
      <c r="G42" s="336"/>
      <c r="H42" s="302"/>
      <c r="I42" s="319"/>
      <c r="K42" s="265">
        <f>SUM(D45+F45)</f>
        <v>3461</v>
      </c>
      <c r="L42" s="243">
        <f>SUM(P45+R45)</f>
        <v>168585.54</v>
      </c>
      <c r="N42" s="244"/>
      <c r="O42" s="245"/>
      <c r="P42" s="300"/>
      <c r="Q42" s="358"/>
      <c r="R42" s="300"/>
      <c r="S42" s="336"/>
      <c r="T42" s="302"/>
      <c r="U42" s="319"/>
    </row>
    <row r="43" spans="1:21" ht="30.6" thickBot="1" x14ac:dyDescent="0.4">
      <c r="A43" s="335" t="s">
        <v>521</v>
      </c>
      <c r="B43" s="302"/>
      <c r="C43" s="267"/>
      <c r="D43" s="245"/>
      <c r="E43" s="305"/>
      <c r="F43" s="245"/>
      <c r="G43" s="300"/>
      <c r="H43" s="337"/>
      <c r="I43" s="327"/>
      <c r="K43" s="265">
        <f>SUM(G46+I46)</f>
        <v>2765</v>
      </c>
      <c r="L43" s="243">
        <f>SUM(S46+U46)</f>
        <v>170421.18</v>
      </c>
      <c r="N43" s="305"/>
      <c r="O43" s="267"/>
      <c r="P43" s="238"/>
      <c r="Q43" s="307"/>
      <c r="R43" s="304"/>
      <c r="S43" s="300"/>
      <c r="T43" s="337"/>
      <c r="U43" s="327" t="s">
        <v>522</v>
      </c>
    </row>
    <row r="44" spans="1:21" ht="30.6" thickBot="1" x14ac:dyDescent="0.4">
      <c r="A44" s="338" t="s">
        <v>55</v>
      </c>
      <c r="B44" s="259">
        <v>4920</v>
      </c>
      <c r="C44" s="259">
        <v>6654</v>
      </c>
      <c r="D44" s="366"/>
      <c r="E44" s="305"/>
      <c r="F44" s="267"/>
      <c r="G44" s="339"/>
      <c r="H44" s="302"/>
      <c r="I44" s="340"/>
      <c r="K44" s="310">
        <f>SUM(K41+K42+K43)</f>
        <v>17800</v>
      </c>
      <c r="L44" s="311">
        <f>SUM(L41+L42+L43)</f>
        <v>985993.72</v>
      </c>
      <c r="N44" s="289">
        <v>275028</v>
      </c>
      <c r="O44" s="289">
        <v>371959</v>
      </c>
      <c r="P44" s="269"/>
      <c r="Q44" s="307"/>
      <c r="R44" s="270"/>
      <c r="S44" s="339"/>
      <c r="T44" s="302"/>
      <c r="U44" s="340"/>
    </row>
    <row r="45" spans="1:21" ht="30.6" thickBot="1" x14ac:dyDescent="0.4">
      <c r="A45" s="338" t="s">
        <v>48</v>
      </c>
      <c r="B45" s="302"/>
      <c r="C45" s="245"/>
      <c r="D45" s="371">
        <v>2774</v>
      </c>
      <c r="E45" s="341"/>
      <c r="F45" s="259">
        <v>687</v>
      </c>
      <c r="G45" s="336"/>
      <c r="H45" s="302"/>
      <c r="I45" s="342"/>
      <c r="N45" s="305"/>
      <c r="O45" s="245"/>
      <c r="P45" s="289">
        <v>135121.54</v>
      </c>
      <c r="Q45" s="337"/>
      <c r="R45" s="289">
        <v>33464</v>
      </c>
      <c r="S45" s="336"/>
      <c r="T45" s="302"/>
      <c r="U45" s="342"/>
    </row>
    <row r="46" spans="1:21" ht="30.6" thickBot="1" x14ac:dyDescent="0.4">
      <c r="A46" s="266" t="s">
        <v>47</v>
      </c>
      <c r="B46" s="267"/>
      <c r="C46" s="267"/>
      <c r="D46" s="376"/>
      <c r="E46" s="270"/>
      <c r="F46" s="334"/>
      <c r="G46" s="313">
        <v>2398</v>
      </c>
      <c r="H46" s="269"/>
      <c r="I46" s="313">
        <v>367</v>
      </c>
      <c r="N46" s="270"/>
      <c r="O46" s="267"/>
      <c r="P46" s="343"/>
      <c r="Q46" s="271"/>
      <c r="R46" s="344"/>
      <c r="S46" s="263">
        <v>151506</v>
      </c>
      <c r="T46" s="269"/>
      <c r="U46" s="263">
        <v>18915.18</v>
      </c>
    </row>
    <row r="47" spans="1:21" ht="15" customHeight="1" thickBot="1" x14ac:dyDescent="0.4">
      <c r="A47" s="356" t="s">
        <v>12</v>
      </c>
      <c r="B47" s="396"/>
      <c r="C47" s="397"/>
      <c r="D47" s="397"/>
      <c r="E47" s="396"/>
      <c r="F47" s="397"/>
      <c r="G47" s="397"/>
      <c r="H47" s="397"/>
      <c r="I47" s="398"/>
      <c r="K47" s="324" t="s">
        <v>12</v>
      </c>
      <c r="L47" s="325"/>
      <c r="N47" s="415" t="s">
        <v>12</v>
      </c>
      <c r="O47" s="416"/>
      <c r="P47" s="396"/>
      <c r="Q47" s="397"/>
      <c r="R47" s="396"/>
      <c r="S47" s="397"/>
      <c r="T47" s="397"/>
      <c r="U47" s="398"/>
    </row>
    <row r="48" spans="1:21" ht="30.6" thickBot="1" x14ac:dyDescent="0.4">
      <c r="A48" s="326" t="s">
        <v>22</v>
      </c>
      <c r="B48" s="300"/>
      <c r="C48" s="241"/>
      <c r="D48" s="245"/>
      <c r="E48" s="244"/>
      <c r="F48" s="238"/>
      <c r="G48" s="238"/>
      <c r="H48" s="238"/>
      <c r="I48" s="239"/>
      <c r="K48" s="265">
        <f>SUM(B54+C54)</f>
        <v>24230</v>
      </c>
      <c r="L48" s="243">
        <f>SUM(N54+O54)</f>
        <v>1206983</v>
      </c>
      <c r="N48" s="300"/>
      <c r="O48" s="241"/>
      <c r="P48" s="238"/>
      <c r="Q48" s="245"/>
      <c r="R48" s="244"/>
      <c r="S48" s="238"/>
      <c r="T48" s="238"/>
      <c r="U48" s="239"/>
    </row>
    <row r="49" spans="1:21" ht="30.6" thickBot="1" x14ac:dyDescent="0.4">
      <c r="A49" s="335" t="s">
        <v>23</v>
      </c>
      <c r="B49" s="245"/>
      <c r="C49" s="300"/>
      <c r="D49" s="377"/>
      <c r="E49" s="305"/>
      <c r="F49" s="302"/>
      <c r="G49" s="302"/>
      <c r="H49" s="302"/>
      <c r="I49" s="303"/>
      <c r="K49" s="265">
        <f>SUM(D55+E55+F55)</f>
        <v>90826</v>
      </c>
      <c r="L49" s="243">
        <f>SUM(P55+Q55+R55)</f>
        <v>4424135</v>
      </c>
      <c r="N49" s="304"/>
      <c r="O49" s="300"/>
      <c r="P49" s="336"/>
      <c r="Q49" s="307"/>
      <c r="R49" s="305"/>
      <c r="S49" s="302"/>
      <c r="T49" s="302"/>
      <c r="U49" s="303"/>
    </row>
    <row r="50" spans="1:21" ht="30.6" thickBot="1" x14ac:dyDescent="0.4">
      <c r="A50" s="335" t="s">
        <v>24</v>
      </c>
      <c r="B50" s="302"/>
      <c r="C50" s="312"/>
      <c r="D50" s="365"/>
      <c r="E50" s="270"/>
      <c r="F50" s="267"/>
      <c r="G50" s="302"/>
      <c r="H50" s="302"/>
      <c r="I50" s="303"/>
      <c r="K50" s="310">
        <f>SUM(K48+K49)</f>
        <v>115056</v>
      </c>
      <c r="L50" s="311">
        <f>SUM(L48+L49)</f>
        <v>5631118</v>
      </c>
      <c r="N50" s="305"/>
      <c r="O50" s="312"/>
      <c r="P50" s="300"/>
      <c r="Q50" s="366"/>
      <c r="R50" s="270"/>
      <c r="S50" s="302"/>
      <c r="T50" s="302"/>
      <c r="U50" s="303"/>
    </row>
    <row r="51" spans="1:21" ht="30.6" thickBot="1" x14ac:dyDescent="0.4">
      <c r="A51" s="335" t="s">
        <v>17</v>
      </c>
      <c r="B51" s="302"/>
      <c r="C51" s="318"/>
      <c r="D51" s="245"/>
      <c r="E51" s="300"/>
      <c r="F51" s="300"/>
      <c r="G51" s="269"/>
      <c r="H51" s="302"/>
      <c r="I51" s="303"/>
      <c r="K51" s="275"/>
      <c r="L51" s="275"/>
      <c r="N51" s="305"/>
      <c r="O51" s="318"/>
      <c r="P51" s="245"/>
      <c r="Q51" s="365"/>
      <c r="R51" s="300"/>
      <c r="S51" s="269"/>
      <c r="T51" s="302"/>
      <c r="U51" s="303"/>
    </row>
    <row r="52" spans="1:21" ht="30.6" thickBot="1" x14ac:dyDescent="0.4">
      <c r="A52" s="335" t="s">
        <v>25</v>
      </c>
      <c r="B52" s="302"/>
      <c r="C52" s="318"/>
      <c r="D52" s="307"/>
      <c r="E52" s="345"/>
      <c r="F52" s="312"/>
      <c r="G52" s="300"/>
      <c r="H52" s="306"/>
      <c r="I52" s="268"/>
      <c r="K52" s="275"/>
      <c r="L52" s="275"/>
      <c r="N52" s="305"/>
      <c r="O52" s="318"/>
      <c r="P52" s="302"/>
      <c r="Q52" s="312"/>
      <c r="R52" s="316"/>
      <c r="S52" s="300"/>
      <c r="T52" s="306"/>
      <c r="U52" s="268"/>
    </row>
    <row r="53" spans="1:21" ht="30.6" thickBot="1" x14ac:dyDescent="0.4">
      <c r="A53" s="335" t="s">
        <v>26</v>
      </c>
      <c r="B53" s="267"/>
      <c r="C53" s="318"/>
      <c r="D53" s="307"/>
      <c r="E53" s="305"/>
      <c r="F53" s="302"/>
      <c r="G53" s="238"/>
      <c r="H53" s="307"/>
      <c r="I53" s="300"/>
      <c r="K53" s="275"/>
      <c r="L53" s="275"/>
      <c r="N53" s="270"/>
      <c r="O53" s="318"/>
      <c r="P53" s="302"/>
      <c r="Q53" s="307"/>
      <c r="R53" s="305"/>
      <c r="S53" s="238"/>
      <c r="T53" s="307"/>
      <c r="U53" s="300"/>
    </row>
    <row r="54" spans="1:21" ht="30.6" thickBot="1" x14ac:dyDescent="0.4">
      <c r="A54" s="346" t="s">
        <v>51</v>
      </c>
      <c r="B54" s="259">
        <v>1032</v>
      </c>
      <c r="C54" s="259">
        <v>23198</v>
      </c>
      <c r="D54" s="271"/>
      <c r="E54" s="270"/>
      <c r="F54" s="267"/>
      <c r="G54" s="267"/>
      <c r="H54" s="302"/>
      <c r="I54" s="309"/>
      <c r="K54" s="275"/>
      <c r="L54" s="275"/>
      <c r="N54" s="289">
        <v>51022</v>
      </c>
      <c r="O54" s="289">
        <v>1155961</v>
      </c>
      <c r="P54" s="267"/>
      <c r="Q54" s="271"/>
      <c r="R54" s="270"/>
      <c r="S54" s="267"/>
      <c r="T54" s="302"/>
      <c r="U54" s="309"/>
    </row>
    <row r="55" spans="1:21" ht="30.6" thickBot="1" x14ac:dyDescent="0.4">
      <c r="A55" s="338" t="s">
        <v>48</v>
      </c>
      <c r="B55" s="339"/>
      <c r="C55" s="347"/>
      <c r="D55" s="371">
        <v>37894</v>
      </c>
      <c r="E55" s="259">
        <v>25632</v>
      </c>
      <c r="F55" s="259">
        <v>27300</v>
      </c>
      <c r="G55" s="348" t="s">
        <v>532</v>
      </c>
      <c r="H55" s="306"/>
      <c r="I55" s="315"/>
      <c r="K55" s="275"/>
      <c r="L55" s="275"/>
      <c r="N55" s="345"/>
      <c r="O55" s="347"/>
      <c r="P55" s="289">
        <v>1845817</v>
      </c>
      <c r="Q55" s="364">
        <v>1248535</v>
      </c>
      <c r="R55" s="289">
        <v>1329783</v>
      </c>
      <c r="S55" s="348" t="s">
        <v>532</v>
      </c>
      <c r="T55" s="306"/>
      <c r="U55" s="315"/>
    </row>
    <row r="56" spans="1:21" ht="30.6" thickBot="1" x14ac:dyDescent="0.4">
      <c r="A56" s="266" t="s">
        <v>49</v>
      </c>
      <c r="B56" s="267"/>
      <c r="C56" s="321"/>
      <c r="D56" s="271"/>
      <c r="E56" s="270"/>
      <c r="F56" s="267"/>
      <c r="G56" s="322"/>
      <c r="H56" s="271"/>
      <c r="I56" s="319"/>
      <c r="K56" s="275"/>
      <c r="L56" s="275"/>
      <c r="N56" s="270"/>
      <c r="O56" s="321"/>
      <c r="P56" s="267"/>
      <c r="Q56" s="271"/>
      <c r="R56" s="270"/>
      <c r="S56" s="322"/>
      <c r="T56" s="271"/>
      <c r="U56" s="319"/>
    </row>
    <row r="57" spans="1:21" ht="15" customHeight="1" thickBot="1" x14ac:dyDescent="0.4">
      <c r="A57" s="356" t="s">
        <v>516</v>
      </c>
      <c r="B57" s="396"/>
      <c r="C57" s="397"/>
      <c r="D57" s="397"/>
      <c r="E57" s="396"/>
      <c r="F57" s="397"/>
      <c r="G57" s="397"/>
      <c r="H57" s="397"/>
      <c r="I57" s="398"/>
      <c r="K57" s="324" t="s">
        <v>516</v>
      </c>
      <c r="L57" s="325"/>
      <c r="N57" s="415" t="s">
        <v>516</v>
      </c>
      <c r="O57" s="416"/>
      <c r="P57" s="396"/>
      <c r="Q57" s="397"/>
      <c r="R57" s="396"/>
      <c r="S57" s="397"/>
      <c r="T57" s="397"/>
      <c r="U57" s="398"/>
    </row>
    <row r="58" spans="1:21" ht="30.6" thickBot="1" x14ac:dyDescent="0.4">
      <c r="A58" s="326" t="s">
        <v>50</v>
      </c>
      <c r="B58" s="300"/>
      <c r="C58" s="241"/>
      <c r="D58" s="245"/>
      <c r="E58" s="244"/>
      <c r="F58" s="238"/>
      <c r="G58" s="238"/>
      <c r="H58" s="238"/>
      <c r="I58" s="239"/>
      <c r="K58" s="265">
        <f>SUM(B64+C64+D64)</f>
        <v>16553</v>
      </c>
      <c r="L58" s="243">
        <f>SUM(N64+O64+P64)</f>
        <v>848073.4</v>
      </c>
      <c r="N58" s="300"/>
      <c r="O58" s="241"/>
      <c r="P58" s="238"/>
      <c r="Q58" s="245"/>
      <c r="R58" s="244"/>
      <c r="S58" s="238"/>
      <c r="T58" s="238"/>
      <c r="U58" s="239"/>
    </row>
    <row r="59" spans="1:21" ht="30.6" thickBot="1" x14ac:dyDescent="0.4">
      <c r="A59" s="335" t="s">
        <v>30</v>
      </c>
      <c r="B59" s="245"/>
      <c r="C59" s="300"/>
      <c r="D59" s="366"/>
      <c r="E59" s="305"/>
      <c r="F59" s="302"/>
      <c r="G59" s="302"/>
      <c r="H59" s="302"/>
      <c r="I59" s="303"/>
      <c r="K59" s="310">
        <f>SUM(K58)</f>
        <v>16553</v>
      </c>
      <c r="L59" s="311">
        <f>SUM(L58)</f>
        <v>848073.4</v>
      </c>
      <c r="N59" s="304"/>
      <c r="O59" s="300"/>
      <c r="P59" s="269"/>
      <c r="Q59" s="307"/>
      <c r="R59" s="305"/>
      <c r="S59" s="302"/>
      <c r="T59" s="302"/>
      <c r="U59" s="303"/>
    </row>
    <row r="60" spans="1:21" ht="30.6" thickBot="1" x14ac:dyDescent="0.4">
      <c r="A60" s="335" t="s">
        <v>29</v>
      </c>
      <c r="B60" s="302"/>
      <c r="C60" s="245"/>
      <c r="D60" s="365"/>
      <c r="E60" s="270"/>
      <c r="F60" s="267"/>
      <c r="G60" s="302"/>
      <c r="H60" s="302"/>
      <c r="I60" s="303"/>
      <c r="K60" s="275"/>
      <c r="L60" s="275"/>
      <c r="N60" s="305"/>
      <c r="O60" s="245"/>
      <c r="P60" s="300"/>
      <c r="Q60" s="366"/>
      <c r="R60" s="270"/>
      <c r="S60" s="302"/>
      <c r="T60" s="302"/>
      <c r="U60" s="303"/>
    </row>
    <row r="61" spans="1:21" ht="30.6" thickBot="1" x14ac:dyDescent="0.4">
      <c r="A61" s="335" t="s">
        <v>18</v>
      </c>
      <c r="B61" s="302"/>
      <c r="C61" s="302"/>
      <c r="D61" s="245"/>
      <c r="E61" s="300"/>
      <c r="F61" s="300"/>
      <c r="G61" s="269"/>
      <c r="H61" s="302"/>
      <c r="I61" s="303"/>
      <c r="K61" s="275"/>
      <c r="L61" s="275"/>
      <c r="N61" s="305"/>
      <c r="O61" s="302"/>
      <c r="P61" s="245"/>
      <c r="Q61" s="365"/>
      <c r="R61" s="300"/>
      <c r="S61" s="269"/>
      <c r="T61" s="302"/>
      <c r="U61" s="303"/>
    </row>
    <row r="62" spans="1:21" ht="30.6" thickBot="1" x14ac:dyDescent="0.4">
      <c r="A62" s="335" t="s">
        <v>28</v>
      </c>
      <c r="B62" s="302"/>
      <c r="C62" s="302"/>
      <c r="D62" s="307"/>
      <c r="E62" s="244"/>
      <c r="F62" s="245"/>
      <c r="G62" s="300"/>
      <c r="H62" s="306"/>
      <c r="I62" s="268"/>
      <c r="K62" s="408" t="s">
        <v>66</v>
      </c>
      <c r="L62" s="409"/>
      <c r="N62" s="305"/>
      <c r="O62" s="302"/>
      <c r="P62" s="302"/>
      <c r="Q62" s="245"/>
      <c r="R62" s="304"/>
      <c r="S62" s="300"/>
      <c r="T62" s="306"/>
      <c r="U62" s="268"/>
    </row>
    <row r="63" spans="1:21" ht="30.6" thickBot="1" x14ac:dyDescent="0.4">
      <c r="A63" s="335" t="s">
        <v>27</v>
      </c>
      <c r="B63" s="267"/>
      <c r="C63" s="267"/>
      <c r="D63" s="271"/>
      <c r="E63" s="270"/>
      <c r="F63" s="267"/>
      <c r="G63" s="322"/>
      <c r="H63" s="307"/>
      <c r="I63" s="300"/>
      <c r="K63" s="285">
        <f>SUM(K29+K38+K44+K50+K59)</f>
        <v>674218</v>
      </c>
      <c r="L63" s="286">
        <f>SUM(L29+L38+L44+L50+L59)</f>
        <v>65130671.949999996</v>
      </c>
      <c r="N63" s="270"/>
      <c r="O63" s="267"/>
      <c r="P63" s="267"/>
      <c r="Q63" s="271"/>
      <c r="R63" s="270"/>
      <c r="S63" s="322"/>
      <c r="T63" s="307"/>
      <c r="U63" s="300"/>
    </row>
    <row r="64" spans="1:21" ht="30.6" thickBot="1" x14ac:dyDescent="0.4">
      <c r="A64" s="346" t="s">
        <v>523</v>
      </c>
      <c r="B64" s="259">
        <v>696</v>
      </c>
      <c r="C64" s="259">
        <v>8077</v>
      </c>
      <c r="D64" s="371">
        <v>7780</v>
      </c>
      <c r="E64" s="348" t="s">
        <v>532</v>
      </c>
      <c r="F64" s="348" t="s">
        <v>532</v>
      </c>
      <c r="G64" s="348" t="s">
        <v>532</v>
      </c>
      <c r="H64" s="351"/>
      <c r="I64" s="369"/>
      <c r="K64" s="275"/>
      <c r="L64" s="275"/>
      <c r="N64" s="289">
        <v>36512</v>
      </c>
      <c r="O64" s="289">
        <v>413381</v>
      </c>
      <c r="P64" s="289">
        <v>398180.4</v>
      </c>
      <c r="Q64" s="348" t="s">
        <v>532</v>
      </c>
      <c r="R64" s="348" t="s">
        <v>532</v>
      </c>
      <c r="S64" s="348" t="s">
        <v>532</v>
      </c>
      <c r="T64" s="351"/>
      <c r="U64" s="369"/>
    </row>
    <row r="65" spans="1:21" ht="45.6" hidden="1" thickBot="1" x14ac:dyDescent="0.4">
      <c r="A65" s="266" t="s">
        <v>56</v>
      </c>
      <c r="B65" s="322"/>
      <c r="C65" s="322"/>
      <c r="D65" s="279"/>
      <c r="E65" s="246"/>
      <c r="F65" s="322"/>
      <c r="G65" s="322"/>
      <c r="H65" s="329"/>
      <c r="I65" s="367" t="s">
        <v>524</v>
      </c>
      <c r="K65" s="275"/>
      <c r="L65" s="275"/>
      <c r="N65" s="246"/>
      <c r="O65" s="322"/>
      <c r="P65" s="322"/>
      <c r="Q65" s="279"/>
      <c r="R65" s="246"/>
      <c r="S65" s="322"/>
      <c r="T65" s="329"/>
      <c r="U65" s="367" t="s">
        <v>524</v>
      </c>
    </row>
    <row r="66" spans="1:21" ht="15" hidden="1" customHeight="1" thickBot="1" x14ac:dyDescent="0.4">
      <c r="A66" s="356" t="s">
        <v>20</v>
      </c>
      <c r="B66" s="396"/>
      <c r="C66" s="397"/>
      <c r="D66" s="398"/>
      <c r="E66" s="396"/>
      <c r="F66" s="397"/>
      <c r="G66" s="397"/>
      <c r="H66" s="397"/>
      <c r="I66" s="398"/>
      <c r="K66" s="324" t="s">
        <v>20</v>
      </c>
      <c r="L66" s="325"/>
      <c r="N66" s="415" t="s">
        <v>20</v>
      </c>
      <c r="O66" s="416"/>
      <c r="P66" s="396"/>
      <c r="Q66" s="398"/>
      <c r="R66" s="396"/>
      <c r="S66" s="397"/>
      <c r="T66" s="397"/>
      <c r="U66" s="398"/>
    </row>
    <row r="67" spans="1:21" ht="30.6" hidden="1" thickBot="1" x14ac:dyDescent="0.4">
      <c r="A67" s="237" t="s">
        <v>21</v>
      </c>
      <c r="B67" s="238"/>
      <c r="C67" s="238"/>
      <c r="D67" s="239"/>
      <c r="E67" s="304"/>
      <c r="F67" s="300"/>
      <c r="G67" s="264"/>
      <c r="H67" s="238"/>
      <c r="I67" s="239"/>
      <c r="K67" s="278"/>
      <c r="L67" s="349"/>
      <c r="N67" s="244"/>
      <c r="O67" s="238"/>
      <c r="P67" s="238"/>
      <c r="Q67" s="239"/>
      <c r="R67" s="300"/>
      <c r="S67" s="264"/>
      <c r="T67" s="238"/>
      <c r="U67" s="239"/>
    </row>
    <row r="68" spans="1:21" ht="45.6" hidden="1" thickBot="1" x14ac:dyDescent="0.4">
      <c r="A68" s="282" t="s">
        <v>57</v>
      </c>
      <c r="B68" s="283"/>
      <c r="C68" s="283"/>
      <c r="D68" s="284"/>
      <c r="E68" s="350"/>
      <c r="F68" s="348" t="s">
        <v>524</v>
      </c>
      <c r="G68" s="351"/>
      <c r="H68" s="283"/>
      <c r="I68" s="284"/>
      <c r="K68" s="352"/>
      <c r="L68" s="353"/>
      <c r="N68" s="287"/>
      <c r="O68" s="283"/>
      <c r="P68" s="283"/>
      <c r="Q68" s="284"/>
      <c r="R68" s="348" t="s">
        <v>524</v>
      </c>
      <c r="S68" s="351"/>
      <c r="T68" s="283"/>
      <c r="U68" s="284"/>
    </row>
  </sheetData>
  <mergeCells count="66">
    <mergeCell ref="P17:Q17"/>
    <mergeCell ref="R17:U17"/>
    <mergeCell ref="P40:Q40"/>
    <mergeCell ref="P47:Q47"/>
    <mergeCell ref="N22:Q22"/>
    <mergeCell ref="R47:U47"/>
    <mergeCell ref="E40:I40"/>
    <mergeCell ref="B47:D47"/>
    <mergeCell ref="E47:I47"/>
    <mergeCell ref="R57:U57"/>
    <mergeCell ref="R66:U66"/>
    <mergeCell ref="N66:O66"/>
    <mergeCell ref="N57:O57"/>
    <mergeCell ref="N47:O47"/>
    <mergeCell ref="P57:Q57"/>
    <mergeCell ref="P66:Q66"/>
    <mergeCell ref="A3:D3"/>
    <mergeCell ref="E3:I3"/>
    <mergeCell ref="A22:D22"/>
    <mergeCell ref="E22:I22"/>
    <mergeCell ref="E14:I14"/>
    <mergeCell ref="B17:D17"/>
    <mergeCell ref="E17:I17"/>
    <mergeCell ref="K3:L3"/>
    <mergeCell ref="K1:L1"/>
    <mergeCell ref="K22:L22"/>
    <mergeCell ref="K62:L62"/>
    <mergeCell ref="N3:Q3"/>
    <mergeCell ref="N40:O40"/>
    <mergeCell ref="N34:O34"/>
    <mergeCell ref="N23:O23"/>
    <mergeCell ref="N17:O17"/>
    <mergeCell ref="P23:Q23"/>
    <mergeCell ref="P34:Q34"/>
    <mergeCell ref="N14:O14"/>
    <mergeCell ref="N11:O11"/>
    <mergeCell ref="N8:O8"/>
    <mergeCell ref="N4:O4"/>
    <mergeCell ref="P4:Q4"/>
    <mergeCell ref="R3:U3"/>
    <mergeCell ref="R4:U4"/>
    <mergeCell ref="R23:U23"/>
    <mergeCell ref="R34:U34"/>
    <mergeCell ref="R40:U40"/>
    <mergeCell ref="R14:U14"/>
    <mergeCell ref="P8:Q8"/>
    <mergeCell ref="R8:U8"/>
    <mergeCell ref="P11:Q11"/>
    <mergeCell ref="R11:U11"/>
    <mergeCell ref="P14:Q14"/>
    <mergeCell ref="B57:D57"/>
    <mergeCell ref="E57:I57"/>
    <mergeCell ref="B66:D66"/>
    <mergeCell ref="B4:D4"/>
    <mergeCell ref="E4:I4"/>
    <mergeCell ref="B8:D8"/>
    <mergeCell ref="E8:I8"/>
    <mergeCell ref="B11:D11"/>
    <mergeCell ref="E11:I11"/>
    <mergeCell ref="B14:D14"/>
    <mergeCell ref="E66:I66"/>
    <mergeCell ref="B23:D23"/>
    <mergeCell ref="E23:I23"/>
    <mergeCell ref="B34:D34"/>
    <mergeCell ref="E34:I34"/>
    <mergeCell ref="B40:D40"/>
  </mergeCells>
  <pageMargins left="0.78740157480314965" right="0.78740157480314965" top="1.1811023622047245" bottom="1.1811023622047245" header="0" footer="0"/>
  <pageSetup paperSize="8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5C096-4D4D-4D11-8C05-D41CF6D842A5}">
  <sheetPr>
    <tabColor rgb="FFFF0000"/>
  </sheetPr>
  <dimension ref="A1:T46"/>
  <sheetViews>
    <sheetView workbookViewId="0">
      <selection activeCell="I4" sqref="I4"/>
    </sheetView>
  </sheetViews>
  <sheetFormatPr defaultRowHeight="14.4" x14ac:dyDescent="0.3"/>
  <cols>
    <col min="1" max="1" width="18.109375" customWidth="1"/>
    <col min="2" max="2" width="15.33203125" customWidth="1"/>
    <col min="3" max="3" width="14.109375" customWidth="1"/>
    <col min="4" max="4" width="12.44140625" customWidth="1"/>
    <col min="5" max="5" width="14.109375" customWidth="1"/>
    <col min="6" max="6" width="13.6640625" customWidth="1"/>
    <col min="7" max="7" width="14.109375" customWidth="1"/>
    <col min="8" max="8" width="15.33203125" customWidth="1"/>
    <col min="9" max="9" width="14.5546875" customWidth="1"/>
    <col min="10" max="10" width="15.33203125" customWidth="1"/>
    <col min="11" max="11" width="11.88671875" customWidth="1"/>
    <col min="12" max="12" width="16.5546875" customWidth="1"/>
    <col min="13" max="13" width="15.77734375" customWidth="1"/>
    <col min="14" max="14" width="18.21875" customWidth="1"/>
    <col min="15" max="15" width="17.6640625" customWidth="1"/>
    <col min="16" max="16" width="17" customWidth="1"/>
    <col min="17" max="17" width="16.21875" customWidth="1"/>
    <col min="18" max="18" width="15.44140625" bestFit="1" customWidth="1"/>
    <col min="19" max="19" width="14.33203125" bestFit="1" customWidth="1"/>
    <col min="20" max="20" width="13.5546875" customWidth="1"/>
  </cols>
  <sheetData>
    <row r="1" spans="1:17" ht="43.2" customHeight="1" thickBot="1" x14ac:dyDescent="0.35">
      <c r="A1" s="131" t="s">
        <v>485</v>
      </c>
      <c r="B1" s="128" t="s">
        <v>484</v>
      </c>
      <c r="C1" s="128" t="s">
        <v>483</v>
      </c>
      <c r="D1" s="128" t="s">
        <v>74</v>
      </c>
      <c r="E1" s="129" t="s">
        <v>478</v>
      </c>
      <c r="F1" s="129" t="s">
        <v>479</v>
      </c>
      <c r="G1" s="129" t="s">
        <v>480</v>
      </c>
      <c r="H1" s="129" t="s">
        <v>481</v>
      </c>
      <c r="I1" s="128" t="s">
        <v>468</v>
      </c>
      <c r="J1" s="129" t="s">
        <v>476</v>
      </c>
      <c r="K1" s="128" t="s">
        <v>482</v>
      </c>
      <c r="L1" s="129" t="s">
        <v>477</v>
      </c>
      <c r="M1" s="130" t="s">
        <v>469</v>
      </c>
      <c r="N1" s="158"/>
      <c r="O1" s="158"/>
      <c r="P1" s="158"/>
      <c r="Q1" s="158"/>
    </row>
    <row r="2" spans="1:17" ht="15" thickBot="1" x14ac:dyDescent="0.35">
      <c r="A2" s="102" t="s">
        <v>2</v>
      </c>
      <c r="B2" s="116"/>
      <c r="C2" s="117"/>
      <c r="D2" s="117"/>
      <c r="E2" s="127" t="s">
        <v>487</v>
      </c>
      <c r="F2" s="127" t="s">
        <v>487</v>
      </c>
      <c r="G2" s="127" t="s">
        <v>487</v>
      </c>
      <c r="H2" s="127" t="s">
        <v>487</v>
      </c>
      <c r="I2" s="117"/>
      <c r="J2" s="127" t="s">
        <v>487</v>
      </c>
      <c r="K2" s="117"/>
      <c r="L2" s="127" t="s">
        <v>487</v>
      </c>
      <c r="M2" s="118"/>
      <c r="N2" s="158"/>
      <c r="O2" s="158"/>
      <c r="P2" s="158"/>
      <c r="Q2" s="158"/>
    </row>
    <row r="3" spans="1:17" x14ac:dyDescent="0.3">
      <c r="A3" s="97" t="s">
        <v>0</v>
      </c>
      <c r="B3" s="104">
        <v>0.5</v>
      </c>
      <c r="C3" s="98">
        <v>0.55000000000000004</v>
      </c>
      <c r="D3" s="99">
        <v>1280</v>
      </c>
      <c r="E3" s="133"/>
      <c r="F3" s="133">
        <f>6.59*D3</f>
        <v>8435.2000000000007</v>
      </c>
      <c r="G3" s="133">
        <f>9.06*D3</f>
        <v>11596.800000000001</v>
      </c>
      <c r="H3" s="133"/>
      <c r="I3" s="100">
        <v>3238</v>
      </c>
      <c r="J3" s="133">
        <f>9.06*I3</f>
        <v>29336.280000000002</v>
      </c>
      <c r="K3" s="99">
        <v>339</v>
      </c>
      <c r="L3" s="133">
        <f>(304.9+58.08)*K3</f>
        <v>123050.21999999999</v>
      </c>
      <c r="M3" s="101">
        <v>44</v>
      </c>
      <c r="N3" s="158"/>
      <c r="O3" s="159"/>
      <c r="P3" s="160"/>
      <c r="Q3" s="158"/>
    </row>
    <row r="4" spans="1:17" ht="15" thickBot="1" x14ac:dyDescent="0.35">
      <c r="A4" s="103" t="s">
        <v>1</v>
      </c>
      <c r="B4" s="122">
        <v>0.5</v>
      </c>
      <c r="C4" s="123">
        <v>0.71</v>
      </c>
      <c r="D4" s="124">
        <v>4908</v>
      </c>
      <c r="E4" s="138"/>
      <c r="F4" s="133">
        <f>6.59*D4</f>
        <v>32343.719999999998</v>
      </c>
      <c r="G4" s="138">
        <f>9.06*D4</f>
        <v>44466.48</v>
      </c>
      <c r="H4" s="133"/>
      <c r="I4" s="125">
        <v>11670</v>
      </c>
      <c r="J4" s="133">
        <f>9.06*I4</f>
        <v>105730.20000000001</v>
      </c>
      <c r="K4" s="124">
        <v>1952</v>
      </c>
      <c r="L4" s="133">
        <f>(304.9+58.08)*K4</f>
        <v>708536.96</v>
      </c>
      <c r="M4" s="126">
        <v>153</v>
      </c>
      <c r="N4" s="158"/>
      <c r="O4" s="159"/>
      <c r="P4" s="160"/>
      <c r="Q4" s="158"/>
    </row>
    <row r="5" spans="1:17" ht="15" thickBot="1" x14ac:dyDescent="0.35">
      <c r="A5" s="20" t="s">
        <v>474</v>
      </c>
      <c r="B5" s="119"/>
      <c r="C5" s="120"/>
      <c r="D5" s="120"/>
      <c r="E5" s="127" t="s">
        <v>487</v>
      </c>
      <c r="F5" s="127" t="s">
        <v>487</v>
      </c>
      <c r="G5" s="127" t="s">
        <v>487</v>
      </c>
      <c r="H5" s="127" t="s">
        <v>487</v>
      </c>
      <c r="I5" s="117"/>
      <c r="J5" s="127" t="s">
        <v>487</v>
      </c>
      <c r="K5" s="117"/>
      <c r="L5" s="127" t="s">
        <v>487</v>
      </c>
      <c r="M5" s="121"/>
      <c r="N5" s="158"/>
      <c r="O5" s="158"/>
      <c r="P5" s="158"/>
      <c r="Q5" s="158"/>
    </row>
    <row r="6" spans="1:17" x14ac:dyDescent="0.3">
      <c r="A6" s="434" t="s">
        <v>470</v>
      </c>
      <c r="B6" s="98">
        <v>0.41</v>
      </c>
      <c r="C6" s="98">
        <v>0.65</v>
      </c>
      <c r="D6" s="99">
        <v>1032</v>
      </c>
      <c r="E6" s="133"/>
      <c r="F6" s="133">
        <f>7.32*D6</f>
        <v>7554.2400000000007</v>
      </c>
      <c r="G6" s="139">
        <f t="shared" ref="G6" si="0">10.34*D6</f>
        <v>10670.88</v>
      </c>
      <c r="H6" s="139"/>
      <c r="I6" s="137">
        <v>2932</v>
      </c>
      <c r="J6" s="133">
        <f t="shared" ref="J6:J7" si="1">(113.46+6.47)*I6</f>
        <v>351634.75999999995</v>
      </c>
      <c r="K6" s="137">
        <v>715</v>
      </c>
      <c r="L6" s="133">
        <f t="shared" ref="L6:L7" si="2">(283.74+88.82)*K6</f>
        <v>266380.40000000002</v>
      </c>
      <c r="M6" s="101">
        <v>31</v>
      </c>
      <c r="N6" s="151"/>
      <c r="O6" s="159"/>
      <c r="P6" s="160"/>
      <c r="Q6" s="158"/>
    </row>
    <row r="7" spans="1:17" x14ac:dyDescent="0.3">
      <c r="A7" s="434"/>
      <c r="B7" s="98">
        <v>0.51</v>
      </c>
      <c r="C7" s="98">
        <v>0.72</v>
      </c>
      <c r="D7" s="99">
        <v>4920</v>
      </c>
      <c r="E7" s="133">
        <f>13.78*D7</f>
        <v>67797.599999999991</v>
      </c>
      <c r="F7" s="136"/>
      <c r="G7" s="133">
        <f>10.34*D7</f>
        <v>50872.800000000003</v>
      </c>
      <c r="H7" s="133"/>
      <c r="I7" s="137">
        <v>15919</v>
      </c>
      <c r="J7" s="133">
        <f t="shared" si="1"/>
        <v>1909165.67</v>
      </c>
      <c r="K7" s="137">
        <v>2574</v>
      </c>
      <c r="L7" s="133">
        <f t="shared" si="2"/>
        <v>958969.44000000006</v>
      </c>
      <c r="M7" s="101">
        <v>204</v>
      </c>
      <c r="N7" s="151"/>
      <c r="O7" s="159"/>
      <c r="P7" s="160"/>
      <c r="Q7" s="158"/>
    </row>
    <row r="8" spans="1:17" x14ac:dyDescent="0.3">
      <c r="A8" s="436" t="s">
        <v>3</v>
      </c>
      <c r="B8" s="52">
        <v>0.44</v>
      </c>
      <c r="C8" s="52">
        <v>0.61</v>
      </c>
      <c r="D8" s="56">
        <v>22753</v>
      </c>
      <c r="E8" s="133"/>
      <c r="F8" s="133">
        <f>8.32*D8</f>
        <v>189304.96000000002</v>
      </c>
      <c r="G8" s="133">
        <f t="shared" ref="G8:G14" si="3">9.06*D8</f>
        <v>206142.18000000002</v>
      </c>
      <c r="H8" s="133"/>
      <c r="I8" s="72">
        <v>65874</v>
      </c>
      <c r="J8" s="141">
        <f>9.06*I8</f>
        <v>596818.44000000006</v>
      </c>
      <c r="K8" s="56">
        <v>10205</v>
      </c>
      <c r="L8" s="133">
        <f>(283.74+88.82)*K8</f>
        <v>3801974.8</v>
      </c>
      <c r="M8" s="91">
        <v>1286</v>
      </c>
      <c r="N8" s="151"/>
      <c r="O8" s="159"/>
      <c r="P8" s="160"/>
      <c r="Q8" s="158"/>
    </row>
    <row r="9" spans="1:17" x14ac:dyDescent="0.3">
      <c r="A9" s="437"/>
      <c r="B9" s="52">
        <v>0.55000000000000004</v>
      </c>
      <c r="C9" s="52">
        <v>0.73</v>
      </c>
      <c r="D9" s="56">
        <v>6654</v>
      </c>
      <c r="E9" s="139">
        <f>13.78*D9</f>
        <v>91692.12</v>
      </c>
      <c r="F9" s="136"/>
      <c r="G9" s="133">
        <f t="shared" si="3"/>
        <v>60285.240000000005</v>
      </c>
      <c r="H9" s="139"/>
      <c r="I9" s="137">
        <v>24117</v>
      </c>
      <c r="J9" s="141">
        <f>9.06*I9</f>
        <v>218500.02000000002</v>
      </c>
      <c r="K9" s="137">
        <v>3564</v>
      </c>
      <c r="L9" s="133">
        <f t="shared" ref="L9:L10" si="4">(283.74+88.82)*K9</f>
        <v>1327803.8400000001</v>
      </c>
      <c r="M9" s="91">
        <v>449</v>
      </c>
      <c r="N9" s="151"/>
      <c r="O9" s="159"/>
      <c r="P9" s="160"/>
      <c r="Q9" s="158"/>
    </row>
    <row r="10" spans="1:17" x14ac:dyDescent="0.3">
      <c r="A10" s="438"/>
      <c r="B10" s="52">
        <v>0.55000000000000004</v>
      </c>
      <c r="C10" s="52">
        <v>0.75</v>
      </c>
      <c r="D10" s="140">
        <v>823</v>
      </c>
      <c r="E10" s="140"/>
      <c r="F10" s="133">
        <f>8.32*D10</f>
        <v>6847.3600000000006</v>
      </c>
      <c r="G10" s="133">
        <f t="shared" si="3"/>
        <v>7456.38</v>
      </c>
      <c r="H10" s="140"/>
      <c r="I10" s="140">
        <v>3113</v>
      </c>
      <c r="J10" s="142">
        <f>(113.46+6.47)*I10</f>
        <v>373342.08999999997</v>
      </c>
      <c r="K10" s="140">
        <v>510</v>
      </c>
      <c r="L10" s="133">
        <f t="shared" si="4"/>
        <v>190005.6</v>
      </c>
      <c r="M10" s="91">
        <v>34</v>
      </c>
      <c r="N10" s="151"/>
      <c r="O10" s="159"/>
      <c r="P10" s="160"/>
      <c r="Q10" s="158"/>
    </row>
    <row r="11" spans="1:17" x14ac:dyDescent="0.3">
      <c r="A11" s="439" t="s">
        <v>4</v>
      </c>
      <c r="B11" s="52">
        <v>0.52</v>
      </c>
      <c r="C11" s="52">
        <v>0.68</v>
      </c>
      <c r="D11" s="56">
        <v>37894</v>
      </c>
      <c r="E11" s="139"/>
      <c r="F11" s="139">
        <f>6.59*D11</f>
        <v>249721.46</v>
      </c>
      <c r="G11" s="139">
        <f t="shared" si="3"/>
        <v>343319.64</v>
      </c>
      <c r="H11" s="139"/>
      <c r="I11" s="72">
        <v>112609</v>
      </c>
      <c r="J11" s="139">
        <f t="shared" ref="J11:J17" si="5">9.06*I11</f>
        <v>1020237.54</v>
      </c>
      <c r="K11" s="56">
        <v>16292</v>
      </c>
      <c r="L11" s="139">
        <f>(217.54+88.82)*K11</f>
        <v>4991217.12</v>
      </c>
      <c r="M11" s="91">
        <v>2059</v>
      </c>
      <c r="N11" s="151"/>
      <c r="O11" s="159"/>
      <c r="P11" s="160"/>
      <c r="Q11" s="158"/>
    </row>
    <row r="12" spans="1:17" x14ac:dyDescent="0.3">
      <c r="A12" s="439"/>
      <c r="B12" s="52">
        <v>0.62</v>
      </c>
      <c r="C12" s="52">
        <v>0.75</v>
      </c>
      <c r="D12" s="56">
        <v>2774</v>
      </c>
      <c r="E12" s="139">
        <f>6.59*D12</f>
        <v>18280.66</v>
      </c>
      <c r="F12" s="139"/>
      <c r="G12" s="139">
        <f t="shared" si="3"/>
        <v>25132.440000000002</v>
      </c>
      <c r="H12" s="139"/>
      <c r="I12" s="72">
        <v>7992</v>
      </c>
      <c r="J12" s="139">
        <f t="shared" si="5"/>
        <v>72407.520000000004</v>
      </c>
      <c r="K12" s="56">
        <v>1670</v>
      </c>
      <c r="L12" s="139">
        <f>(217.54+88.82)*K12</f>
        <v>511621.2</v>
      </c>
      <c r="M12" s="91">
        <v>159</v>
      </c>
      <c r="N12" s="151"/>
      <c r="O12" s="159"/>
      <c r="P12" s="160"/>
      <c r="Q12" s="158"/>
    </row>
    <row r="13" spans="1:17" x14ac:dyDescent="0.3">
      <c r="A13" s="90" t="s">
        <v>0</v>
      </c>
      <c r="B13" s="52">
        <v>0.47</v>
      </c>
      <c r="C13" s="52">
        <v>0.64</v>
      </c>
      <c r="D13" s="56">
        <v>25632</v>
      </c>
      <c r="E13" s="133"/>
      <c r="F13" s="133">
        <f>6.59*D13</f>
        <v>168914.88</v>
      </c>
      <c r="G13" s="133">
        <f t="shared" si="3"/>
        <v>232225.92000000001</v>
      </c>
      <c r="H13" s="133"/>
      <c r="I13" s="72">
        <v>105112</v>
      </c>
      <c r="J13" s="133">
        <f t="shared" si="5"/>
        <v>952314.72000000009</v>
      </c>
      <c r="K13" s="56">
        <v>14027</v>
      </c>
      <c r="L13" s="133">
        <f>(304.9+54.08)*K13</f>
        <v>5035412.459999999</v>
      </c>
      <c r="M13" s="91">
        <v>1685</v>
      </c>
      <c r="N13" s="77"/>
      <c r="O13" s="159"/>
      <c r="P13" s="160"/>
      <c r="Q13" s="158"/>
    </row>
    <row r="14" spans="1:17" x14ac:dyDescent="0.3">
      <c r="A14" s="433" t="s">
        <v>1</v>
      </c>
      <c r="B14" s="52">
        <v>0.53</v>
      </c>
      <c r="C14" s="52">
        <v>0.75</v>
      </c>
      <c r="D14" s="56">
        <v>7610</v>
      </c>
      <c r="E14" s="133"/>
      <c r="F14" s="133">
        <f>6.59*D14</f>
        <v>50149.9</v>
      </c>
      <c r="G14" s="133">
        <f t="shared" si="3"/>
        <v>68946.600000000006</v>
      </c>
      <c r="H14" s="133"/>
      <c r="I14" s="56">
        <v>35903</v>
      </c>
      <c r="J14" s="133">
        <f t="shared" si="5"/>
        <v>325281.18</v>
      </c>
      <c r="K14" s="72">
        <v>6476</v>
      </c>
      <c r="L14" s="133">
        <f>(304.9+54.08)*K14</f>
        <v>2324754.48</v>
      </c>
      <c r="M14" s="91">
        <v>609</v>
      </c>
      <c r="N14" s="151"/>
      <c r="O14" s="159"/>
      <c r="P14" s="160"/>
      <c r="Q14" s="158"/>
    </row>
    <row r="15" spans="1:17" x14ac:dyDescent="0.3">
      <c r="A15" s="434"/>
      <c r="B15" s="52">
        <v>0.49</v>
      </c>
      <c r="C15" s="52">
        <v>0.72</v>
      </c>
      <c r="D15" s="56">
        <v>19690</v>
      </c>
      <c r="E15" s="133"/>
      <c r="F15" s="133">
        <f>6.59*D15</f>
        <v>129757.09999999999</v>
      </c>
      <c r="G15" s="133"/>
      <c r="H15" s="133">
        <f>9.06*D15</f>
        <v>178391.40000000002</v>
      </c>
      <c r="I15" s="72">
        <v>61310</v>
      </c>
      <c r="J15" s="133">
        <f t="shared" si="5"/>
        <v>555468.6</v>
      </c>
      <c r="K15" s="56">
        <v>11131</v>
      </c>
      <c r="L15" s="133">
        <f>(304.9+54.08)*K15</f>
        <v>3995806.3799999994</v>
      </c>
      <c r="M15" s="91">
        <v>1284</v>
      </c>
      <c r="N15" s="151"/>
      <c r="O15" s="159"/>
      <c r="P15" s="160"/>
      <c r="Q15" s="158"/>
    </row>
    <row r="16" spans="1:17" x14ac:dyDescent="0.3">
      <c r="A16" s="434"/>
      <c r="B16" s="105">
        <v>0.49</v>
      </c>
      <c r="C16" s="52">
        <v>0.75</v>
      </c>
      <c r="D16" s="56">
        <v>412</v>
      </c>
      <c r="E16" s="133">
        <f>6.59*D16</f>
        <v>2715.08</v>
      </c>
      <c r="F16" s="133"/>
      <c r="G16" s="133"/>
      <c r="H16" s="133">
        <f>9.06*D16</f>
        <v>3732.7200000000003</v>
      </c>
      <c r="I16" s="72">
        <v>2498</v>
      </c>
      <c r="J16" s="133">
        <f t="shared" si="5"/>
        <v>22631.88</v>
      </c>
      <c r="K16" s="56">
        <v>383</v>
      </c>
      <c r="L16" s="133">
        <f>(304.9+54.08)*K16</f>
        <v>137489.34</v>
      </c>
      <c r="M16" s="106">
        <v>40</v>
      </c>
      <c r="N16" s="151"/>
      <c r="O16" s="159"/>
      <c r="P16" s="160"/>
      <c r="Q16" s="158"/>
    </row>
    <row r="17" spans="1:17" x14ac:dyDescent="0.3">
      <c r="A17" s="435"/>
      <c r="B17" s="105">
        <v>0.47</v>
      </c>
      <c r="C17" s="52">
        <v>0.75</v>
      </c>
      <c r="D17" s="56">
        <v>275</v>
      </c>
      <c r="E17" s="133">
        <f>6.59*D17</f>
        <v>1812.25</v>
      </c>
      <c r="F17" s="133"/>
      <c r="G17" s="133">
        <f>9.06*D17</f>
        <v>2491.5</v>
      </c>
      <c r="H17" s="133"/>
      <c r="I17" s="72">
        <v>1239</v>
      </c>
      <c r="J17" s="133">
        <f t="shared" si="5"/>
        <v>11225.34</v>
      </c>
      <c r="K17" s="56">
        <v>168</v>
      </c>
      <c r="L17" s="133">
        <f>(304.9+54.08)*K17</f>
        <v>60308.639999999992</v>
      </c>
      <c r="M17" s="106">
        <v>24</v>
      </c>
      <c r="N17" s="151"/>
      <c r="O17" s="159"/>
      <c r="P17" s="160"/>
      <c r="Q17" s="158"/>
    </row>
    <row r="18" spans="1:17" x14ac:dyDescent="0.3">
      <c r="A18" s="90" t="s">
        <v>5</v>
      </c>
      <c r="B18" s="52">
        <v>0.44</v>
      </c>
      <c r="C18" s="52">
        <v>0.75</v>
      </c>
      <c r="D18" s="56">
        <v>2398</v>
      </c>
      <c r="E18" s="133">
        <f>5.87*D18</f>
        <v>14076.26</v>
      </c>
      <c r="F18" s="133"/>
      <c r="G18" s="133">
        <f>9.06*D18</f>
        <v>21725.88</v>
      </c>
      <c r="H18" s="133"/>
      <c r="I18" s="72">
        <v>11911</v>
      </c>
      <c r="J18" s="133">
        <f>7.54*I18</f>
        <v>89808.94</v>
      </c>
      <c r="K18" s="56">
        <v>2444</v>
      </c>
      <c r="L18" s="133">
        <f>(217.54+88.82)*K18</f>
        <v>748743.84000000008</v>
      </c>
      <c r="M18" s="91">
        <v>259</v>
      </c>
      <c r="N18" s="77"/>
      <c r="O18" s="159"/>
      <c r="P18" s="160"/>
      <c r="Q18" s="158"/>
    </row>
    <row r="19" spans="1:17" ht="15" thickBot="1" x14ac:dyDescent="0.35">
      <c r="A19" s="92" t="s">
        <v>471</v>
      </c>
      <c r="B19" s="93">
        <v>0.32</v>
      </c>
      <c r="C19" s="93">
        <v>0.75</v>
      </c>
      <c r="D19" s="94">
        <v>376</v>
      </c>
      <c r="E19" s="149"/>
      <c r="F19" s="149">
        <f>3.18*D19</f>
        <v>1195.68</v>
      </c>
      <c r="G19" s="149">
        <f>3.45*D19</f>
        <v>1297.2</v>
      </c>
      <c r="H19" s="149"/>
      <c r="I19" s="95">
        <v>2067</v>
      </c>
      <c r="J19" s="149">
        <f>3.78*I19</f>
        <v>7813.2599999999993</v>
      </c>
      <c r="K19" s="94">
        <v>243</v>
      </c>
      <c r="L19" s="149">
        <f>(304.9+54.08)*K19</f>
        <v>87232.139999999985</v>
      </c>
      <c r="M19" s="96">
        <v>30</v>
      </c>
      <c r="N19" s="77"/>
      <c r="O19" s="159"/>
      <c r="P19" s="160"/>
      <c r="Q19" s="158"/>
    </row>
    <row r="20" spans="1:17" ht="15" thickBot="1" x14ac:dyDescent="0.35">
      <c r="A20" s="16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63"/>
      <c r="N20" s="158"/>
      <c r="O20" s="158"/>
      <c r="P20" s="158"/>
      <c r="Q20" s="158"/>
    </row>
    <row r="21" spans="1:17" ht="44.4" customHeight="1" thickBot="1" x14ac:dyDescent="0.35">
      <c r="A21" s="132" t="s">
        <v>486</v>
      </c>
      <c r="B21" s="128" t="s">
        <v>484</v>
      </c>
      <c r="C21" s="128" t="s">
        <v>483</v>
      </c>
      <c r="D21" s="128" t="s">
        <v>74</v>
      </c>
      <c r="E21" s="129" t="s">
        <v>478</v>
      </c>
      <c r="F21" s="129" t="s">
        <v>479</v>
      </c>
      <c r="G21" s="129" t="s">
        <v>480</v>
      </c>
      <c r="H21" s="129" t="s">
        <v>481</v>
      </c>
      <c r="I21" s="128" t="s">
        <v>468</v>
      </c>
      <c r="J21" s="129" t="s">
        <v>476</v>
      </c>
      <c r="K21" s="128" t="s">
        <v>482</v>
      </c>
      <c r="L21" s="129" t="s">
        <v>477</v>
      </c>
      <c r="M21" s="130" t="s">
        <v>469</v>
      </c>
      <c r="N21" s="158"/>
      <c r="O21" s="158"/>
      <c r="P21" s="158"/>
      <c r="Q21" s="158"/>
    </row>
    <row r="22" spans="1:17" ht="15" thickBot="1" x14ac:dyDescent="0.35">
      <c r="A22" s="102" t="s">
        <v>2</v>
      </c>
      <c r="B22" s="116"/>
      <c r="C22" s="117"/>
      <c r="D22" s="117"/>
      <c r="E22" s="127" t="s">
        <v>487</v>
      </c>
      <c r="F22" s="127" t="s">
        <v>487</v>
      </c>
      <c r="G22" s="127" t="s">
        <v>487</v>
      </c>
      <c r="H22" s="127" t="s">
        <v>487</v>
      </c>
      <c r="I22" s="117"/>
      <c r="J22" s="127" t="s">
        <v>487</v>
      </c>
      <c r="K22" s="117"/>
      <c r="L22" s="127" t="s">
        <v>487</v>
      </c>
      <c r="M22" s="118"/>
      <c r="N22" s="78"/>
      <c r="O22" s="158"/>
      <c r="P22" s="158"/>
      <c r="Q22" s="158"/>
    </row>
    <row r="23" spans="1:17" x14ac:dyDescent="0.3">
      <c r="A23" s="97" t="s">
        <v>0</v>
      </c>
      <c r="B23" s="104">
        <v>0.5</v>
      </c>
      <c r="C23" s="98">
        <v>0.55000000000000004</v>
      </c>
      <c r="D23" s="99">
        <v>1280</v>
      </c>
      <c r="E23" s="133"/>
      <c r="F23" s="133">
        <f>(6.59+42.12)*D23</f>
        <v>62348.799999999988</v>
      </c>
      <c r="G23" s="133">
        <f>(9.06+42.12)*D23</f>
        <v>65510.400000000001</v>
      </c>
      <c r="H23" s="133"/>
      <c r="I23" s="100">
        <v>3238</v>
      </c>
      <c r="J23" s="133">
        <f>(6.74+66.05+44.96+9.06+95.03+9.47+2.97)*I23</f>
        <v>758598.64</v>
      </c>
      <c r="K23" s="99">
        <v>339</v>
      </c>
      <c r="L23" s="133">
        <f>(13+304.9+41.66+58.08)*K23</f>
        <v>141579.95999999996</v>
      </c>
      <c r="M23" s="101">
        <v>44</v>
      </c>
      <c r="N23" s="77"/>
      <c r="O23" s="159"/>
      <c r="P23" s="160"/>
      <c r="Q23" s="158"/>
    </row>
    <row r="24" spans="1:17" ht="15" thickBot="1" x14ac:dyDescent="0.35">
      <c r="A24" s="103" t="s">
        <v>1</v>
      </c>
      <c r="B24" s="122">
        <v>0.5</v>
      </c>
      <c r="C24" s="123">
        <v>0.71</v>
      </c>
      <c r="D24" s="124">
        <v>4908</v>
      </c>
      <c r="E24" s="133"/>
      <c r="F24" s="133">
        <f>(6.59+42.12)*D24</f>
        <v>239068.67999999996</v>
      </c>
      <c r="G24" s="133">
        <f>(9.06+42.12)*D24</f>
        <v>251191.44</v>
      </c>
      <c r="H24" s="133"/>
      <c r="I24" s="125">
        <v>11670</v>
      </c>
      <c r="J24" s="133">
        <f>(6.74+66.05+44.96+9.06+95.03+9.47+2.97)*I24</f>
        <v>2734047.6</v>
      </c>
      <c r="K24" s="124">
        <v>1952</v>
      </c>
      <c r="L24" s="133">
        <f>(13+304.9+41.66+58.08)*K24</f>
        <v>815233.27999999991</v>
      </c>
      <c r="M24" s="126">
        <v>153</v>
      </c>
      <c r="N24" s="77"/>
      <c r="O24" s="159"/>
      <c r="P24" s="160"/>
      <c r="Q24" s="158"/>
    </row>
    <row r="25" spans="1:17" ht="15" thickBot="1" x14ac:dyDescent="0.35">
      <c r="A25" s="20" t="s">
        <v>474</v>
      </c>
      <c r="B25" s="119"/>
      <c r="C25" s="120"/>
      <c r="D25" s="120"/>
      <c r="E25" s="127" t="s">
        <v>487</v>
      </c>
      <c r="F25" s="127" t="s">
        <v>487</v>
      </c>
      <c r="G25" s="127" t="s">
        <v>487</v>
      </c>
      <c r="H25" s="127" t="s">
        <v>487</v>
      </c>
      <c r="I25" s="117"/>
      <c r="J25" s="127" t="s">
        <v>487</v>
      </c>
      <c r="K25" s="117"/>
      <c r="L25" s="127" t="s">
        <v>487</v>
      </c>
      <c r="M25" s="121"/>
      <c r="N25" s="78"/>
      <c r="O25" s="158"/>
      <c r="P25" s="158"/>
      <c r="Q25" s="158"/>
    </row>
    <row r="26" spans="1:17" x14ac:dyDescent="0.3">
      <c r="A26" s="434" t="s">
        <v>470</v>
      </c>
      <c r="B26" s="98">
        <v>0.41</v>
      </c>
      <c r="C26" s="98">
        <v>0.65</v>
      </c>
      <c r="D26" s="99">
        <v>1032</v>
      </c>
      <c r="E26" s="133"/>
      <c r="F26" s="133">
        <f>(7.32+42.12)*D26</f>
        <v>51022.079999999994</v>
      </c>
      <c r="G26" s="133">
        <f>(10.34+42.12)*D26</f>
        <v>54138.719999999994</v>
      </c>
      <c r="H26" s="133"/>
      <c r="I26" s="137">
        <v>2932</v>
      </c>
      <c r="J26" s="133">
        <f>(113.46+6.47+54.77)*I26</f>
        <v>512220.39999999997</v>
      </c>
      <c r="K26" s="137">
        <v>715</v>
      </c>
      <c r="L26" s="133">
        <f>(283.74+88.82+41.27)*K26</f>
        <v>295888.45</v>
      </c>
      <c r="M26" s="101">
        <v>31</v>
      </c>
      <c r="N26" s="151"/>
      <c r="O26" s="159"/>
      <c r="P26" s="160"/>
      <c r="Q26" s="158"/>
    </row>
    <row r="27" spans="1:17" x14ac:dyDescent="0.3">
      <c r="A27" s="434"/>
      <c r="B27" s="98">
        <v>0.51</v>
      </c>
      <c r="C27" s="98">
        <v>0.72</v>
      </c>
      <c r="D27" s="99">
        <v>4920</v>
      </c>
      <c r="E27" s="133">
        <f>(13.78+42.12)*D27</f>
        <v>275028</v>
      </c>
      <c r="F27" s="136"/>
      <c r="G27" s="133">
        <f>(10.34+42.12)*D27</f>
        <v>258103.19999999998</v>
      </c>
      <c r="H27" s="133"/>
      <c r="I27" s="137">
        <v>15919</v>
      </c>
      <c r="J27" s="133">
        <f>(113.46+6.47+54.77)*I27</f>
        <v>2781049.3</v>
      </c>
      <c r="K27" s="137">
        <v>2574</v>
      </c>
      <c r="L27" s="133">
        <f>(283.74+88.82+41.27)*K27</f>
        <v>1065198.42</v>
      </c>
      <c r="M27" s="101">
        <v>204</v>
      </c>
      <c r="N27" s="151"/>
      <c r="O27" s="159"/>
      <c r="P27" s="160"/>
      <c r="Q27" s="158"/>
    </row>
    <row r="28" spans="1:17" x14ac:dyDescent="0.3">
      <c r="A28" s="436" t="s">
        <v>3</v>
      </c>
      <c r="B28" s="52">
        <v>0.44</v>
      </c>
      <c r="C28" s="52">
        <v>0.61</v>
      </c>
      <c r="D28" s="56">
        <v>22753</v>
      </c>
      <c r="E28" s="133"/>
      <c r="F28" s="133">
        <f>(8.32+42.12)*D28</f>
        <v>1147661.3199999998</v>
      </c>
      <c r="G28" s="133">
        <f t="shared" ref="G28:G34" si="6">(9.06+42.12)*D28</f>
        <v>1164498.54</v>
      </c>
      <c r="H28" s="133"/>
      <c r="I28" s="72">
        <v>65874</v>
      </c>
      <c r="J28" s="141">
        <f>(6.74+66.05+44.96+9.06+95.3+9.47+2.97)*I28</f>
        <v>15450746.700000001</v>
      </c>
      <c r="K28" s="56">
        <v>10205</v>
      </c>
      <c r="L28" s="133">
        <f>(13+283.74+41.27+88.82)*K28</f>
        <v>4355800.1499999994</v>
      </c>
      <c r="M28" s="91">
        <v>1286</v>
      </c>
      <c r="N28" s="151"/>
      <c r="O28" s="159"/>
      <c r="P28" s="160"/>
      <c r="Q28" s="158"/>
    </row>
    <row r="29" spans="1:17" x14ac:dyDescent="0.3">
      <c r="A29" s="437"/>
      <c r="B29" s="52">
        <v>0.55000000000000004</v>
      </c>
      <c r="C29" s="52">
        <v>0.73</v>
      </c>
      <c r="D29" s="56">
        <v>6654</v>
      </c>
      <c r="E29" s="139">
        <f>(13.78+42.12)*D29</f>
        <v>371958.6</v>
      </c>
      <c r="F29" s="133"/>
      <c r="G29" s="133">
        <f t="shared" si="6"/>
        <v>340551.72</v>
      </c>
      <c r="H29" s="139"/>
      <c r="I29" s="137">
        <v>24117</v>
      </c>
      <c r="J29" s="141">
        <f t="shared" ref="J29" si="7">(6.74+66.05+44.96+9.06+95.3+9.47+2.97)*I29</f>
        <v>5656642.3500000006</v>
      </c>
      <c r="K29" s="137">
        <v>3564</v>
      </c>
      <c r="L29" s="133">
        <f t="shared" ref="L29:L30" si="8">(13+283.74+41.27+88.82)*K29</f>
        <v>1521222.1199999999</v>
      </c>
      <c r="M29" s="91">
        <v>449</v>
      </c>
      <c r="N29" s="151"/>
      <c r="O29" s="159"/>
      <c r="P29" s="160"/>
      <c r="Q29" s="158"/>
    </row>
    <row r="30" spans="1:17" x14ac:dyDescent="0.3">
      <c r="A30" s="438"/>
      <c r="B30" s="52">
        <v>0.55000000000000004</v>
      </c>
      <c r="C30" s="52">
        <v>0.75</v>
      </c>
      <c r="D30" s="140">
        <v>823</v>
      </c>
      <c r="E30" s="140"/>
      <c r="F30" s="133">
        <f>(8.32+42.12)*D30</f>
        <v>41512.119999999995</v>
      </c>
      <c r="G30" s="133">
        <f t="shared" si="6"/>
        <v>42121.14</v>
      </c>
      <c r="H30" s="140"/>
      <c r="I30" s="140">
        <v>3113</v>
      </c>
      <c r="J30" s="142">
        <f>(113.46+6.47+54.77)*I30</f>
        <v>543841.1</v>
      </c>
      <c r="K30" s="140">
        <v>510</v>
      </c>
      <c r="L30" s="133">
        <f t="shared" si="8"/>
        <v>217683.3</v>
      </c>
      <c r="M30" s="91">
        <v>34</v>
      </c>
      <c r="N30" s="151"/>
      <c r="O30" s="159"/>
      <c r="P30" s="160"/>
      <c r="Q30" s="158"/>
    </row>
    <row r="31" spans="1:17" x14ac:dyDescent="0.3">
      <c r="A31" s="439" t="s">
        <v>4</v>
      </c>
      <c r="B31" s="52">
        <v>0.52</v>
      </c>
      <c r="C31" s="52">
        <v>0.68</v>
      </c>
      <c r="D31" s="56">
        <v>37894</v>
      </c>
      <c r="E31" s="139"/>
      <c r="F31" s="139">
        <f>(6.59+42.12)*D31</f>
        <v>1845816.7399999998</v>
      </c>
      <c r="G31" s="139">
        <f t="shared" si="6"/>
        <v>1939414.92</v>
      </c>
      <c r="H31" s="139"/>
      <c r="I31" s="72">
        <v>112609</v>
      </c>
      <c r="J31" s="139">
        <f>(6.74+66.05+44.96+9.06+95.3+9.47+2.97)*I31</f>
        <v>26412440.950000003</v>
      </c>
      <c r="K31" s="56">
        <v>16292</v>
      </c>
      <c r="L31" s="139">
        <f>(13+217.54+28.69+88.82)*K31</f>
        <v>5670430.6000000006</v>
      </c>
      <c r="M31" s="91">
        <v>2059</v>
      </c>
      <c r="N31" s="151"/>
      <c r="O31" s="159"/>
      <c r="P31" s="160"/>
      <c r="Q31" s="158"/>
    </row>
    <row r="32" spans="1:17" x14ac:dyDescent="0.3">
      <c r="A32" s="439"/>
      <c r="B32" s="52">
        <v>0.62</v>
      </c>
      <c r="C32" s="52">
        <v>0.75</v>
      </c>
      <c r="D32" s="56">
        <v>2774</v>
      </c>
      <c r="E32" s="139">
        <f>(6.59+42.12)*D32</f>
        <v>135121.53999999998</v>
      </c>
      <c r="F32" s="139"/>
      <c r="G32" s="139">
        <f t="shared" si="6"/>
        <v>141973.32</v>
      </c>
      <c r="H32" s="139"/>
      <c r="I32" s="72">
        <v>7992</v>
      </c>
      <c r="J32" s="139">
        <f>(6.74+66.05+44.96+9.06+95.3+9.47+2.97)*I32</f>
        <v>1874523.6</v>
      </c>
      <c r="K32" s="56">
        <v>1670</v>
      </c>
      <c r="L32" s="139">
        <f>(13+217.54+28.69+88.82)*K32</f>
        <v>581243.5</v>
      </c>
      <c r="M32" s="91">
        <v>159</v>
      </c>
      <c r="N32" s="151"/>
      <c r="O32" s="159"/>
      <c r="P32" s="160"/>
      <c r="Q32" s="158"/>
    </row>
    <row r="33" spans="1:20" x14ac:dyDescent="0.3">
      <c r="A33" s="90" t="s">
        <v>0</v>
      </c>
      <c r="B33" s="52">
        <v>0.47</v>
      </c>
      <c r="C33" s="52">
        <v>0.64</v>
      </c>
      <c r="D33" s="56">
        <v>25632</v>
      </c>
      <c r="E33" s="133"/>
      <c r="F33" s="133">
        <f>(6.59+42.12)*D33</f>
        <v>1248534.7199999997</v>
      </c>
      <c r="G33" s="133">
        <f t="shared" si="6"/>
        <v>1311845.76</v>
      </c>
      <c r="H33" s="133"/>
      <c r="I33" s="72">
        <v>105112</v>
      </c>
      <c r="J33" s="133">
        <f>(6.74+66.05+44.96+9.06+95.3+9.47+2.97)*I33</f>
        <v>24654019.600000001</v>
      </c>
      <c r="K33" s="56">
        <v>14027</v>
      </c>
      <c r="L33" s="133">
        <f>(13+304.9+41.66+54.08)*K33</f>
        <v>5802128.2799999993</v>
      </c>
      <c r="M33" s="91">
        <v>1685</v>
      </c>
      <c r="N33" s="77"/>
      <c r="O33" s="159"/>
      <c r="P33" s="160"/>
      <c r="Q33" s="158"/>
    </row>
    <row r="34" spans="1:20" x14ac:dyDescent="0.3">
      <c r="A34" s="433" t="s">
        <v>1</v>
      </c>
      <c r="B34" s="52">
        <v>0.53</v>
      </c>
      <c r="C34" s="52">
        <v>0.75</v>
      </c>
      <c r="D34" s="56">
        <v>7610</v>
      </c>
      <c r="E34" s="133"/>
      <c r="F34" s="133">
        <f>(6.59+42.12)*D34</f>
        <v>370683.1</v>
      </c>
      <c r="G34" s="133">
        <f t="shared" si="6"/>
        <v>389479.8</v>
      </c>
      <c r="H34" s="133"/>
      <c r="I34" s="56">
        <v>35903</v>
      </c>
      <c r="J34" s="133">
        <f>(6.74+66.05+44.96+9.06+95.3+9.47+2.97)*I34</f>
        <v>8421048.6500000004</v>
      </c>
      <c r="K34" s="72">
        <v>6476</v>
      </c>
      <c r="L34" s="133">
        <f>(13+304.9+41.66+54.08)*K34</f>
        <v>2678732.6399999997</v>
      </c>
      <c r="M34" s="91">
        <v>609</v>
      </c>
      <c r="N34" s="151"/>
      <c r="O34" s="159"/>
      <c r="P34" s="160"/>
      <c r="Q34" s="158"/>
    </row>
    <row r="35" spans="1:20" x14ac:dyDescent="0.3">
      <c r="A35" s="434"/>
      <c r="B35" s="52">
        <v>0.49</v>
      </c>
      <c r="C35" s="52">
        <v>0.72</v>
      </c>
      <c r="D35" s="56">
        <v>19690</v>
      </c>
      <c r="E35" s="133"/>
      <c r="F35" s="133">
        <f>(6.59+42.12)*D35</f>
        <v>959099.89999999991</v>
      </c>
      <c r="G35" s="133"/>
      <c r="H35" s="133">
        <f>(9.06+42.12)*D35</f>
        <v>1007734.2</v>
      </c>
      <c r="I35" s="72">
        <v>61310</v>
      </c>
      <c r="J35" s="133">
        <f t="shared" ref="J35:J37" si="9">(6.74+66.05+44.96+9.06+95.3+9.47+2.97)*I35</f>
        <v>14380260.5</v>
      </c>
      <c r="K35" s="56">
        <v>11131</v>
      </c>
      <c r="L35" s="133">
        <f t="shared" ref="L35:L37" si="10">(13+304.9+41.66+54.08)*K35</f>
        <v>4604226.8399999989</v>
      </c>
      <c r="M35" s="91">
        <v>1284</v>
      </c>
      <c r="N35" s="151"/>
      <c r="O35" s="159"/>
      <c r="P35" s="160"/>
      <c r="Q35" s="158"/>
    </row>
    <row r="36" spans="1:20" x14ac:dyDescent="0.3">
      <c r="A36" s="434"/>
      <c r="B36" s="105">
        <v>0.49</v>
      </c>
      <c r="C36" s="52">
        <v>0.75</v>
      </c>
      <c r="D36" s="56">
        <v>412</v>
      </c>
      <c r="E36" s="133">
        <f>(6.59+42.12)*D36</f>
        <v>20068.519999999997</v>
      </c>
      <c r="F36" s="133"/>
      <c r="G36" s="133"/>
      <c r="H36" s="133">
        <f>(9.06+42.12)*D36</f>
        <v>21086.16</v>
      </c>
      <c r="I36" s="72">
        <v>2498</v>
      </c>
      <c r="J36" s="133">
        <f t="shared" si="9"/>
        <v>585905.9</v>
      </c>
      <c r="K36" s="56">
        <v>383</v>
      </c>
      <c r="L36" s="133">
        <f t="shared" si="10"/>
        <v>158424.11999999997</v>
      </c>
      <c r="M36" s="106">
        <v>40</v>
      </c>
      <c r="N36" s="151"/>
      <c r="O36" s="159"/>
      <c r="P36" s="160"/>
      <c r="Q36" s="158"/>
    </row>
    <row r="37" spans="1:20" x14ac:dyDescent="0.3">
      <c r="A37" s="435"/>
      <c r="B37" s="105">
        <v>0.47</v>
      </c>
      <c r="C37" s="52">
        <v>0.75</v>
      </c>
      <c r="D37" s="56">
        <v>275</v>
      </c>
      <c r="E37" s="133">
        <f>(6.59+42.12)*D37</f>
        <v>13395.249999999998</v>
      </c>
      <c r="F37" s="133"/>
      <c r="G37" s="133">
        <f>(9.06+42.12)*D37</f>
        <v>14074.5</v>
      </c>
      <c r="H37" s="133"/>
      <c r="I37" s="72">
        <v>1239</v>
      </c>
      <c r="J37" s="133">
        <f t="shared" si="9"/>
        <v>290607.45</v>
      </c>
      <c r="K37" s="56">
        <v>168</v>
      </c>
      <c r="L37" s="133">
        <f t="shared" si="10"/>
        <v>69491.51999999999</v>
      </c>
      <c r="M37" s="106">
        <v>24</v>
      </c>
      <c r="N37" s="151"/>
      <c r="O37" s="159"/>
      <c r="P37" s="160"/>
      <c r="Q37" s="158"/>
    </row>
    <row r="38" spans="1:20" x14ac:dyDescent="0.3">
      <c r="A38" s="90" t="s">
        <v>5</v>
      </c>
      <c r="B38" s="52">
        <v>0.44</v>
      </c>
      <c r="C38" s="52">
        <v>0.75</v>
      </c>
      <c r="D38" s="56">
        <v>2398</v>
      </c>
      <c r="E38" s="133">
        <f>(5.87+42.12)*D38</f>
        <v>115080.01999999999</v>
      </c>
      <c r="F38" s="133"/>
      <c r="G38" s="133">
        <f>(9.06+42.12)*D38</f>
        <v>122729.64</v>
      </c>
      <c r="H38" s="133"/>
      <c r="I38" s="72">
        <v>11911</v>
      </c>
      <c r="J38" s="133">
        <f>(6.74+66.05+44.96+7.54+95.3+9.47+2.97)*I38</f>
        <v>2775620.33</v>
      </c>
      <c r="K38" s="56">
        <v>2444</v>
      </c>
      <c r="L38" s="133">
        <f>(13+217.54+28.69+88.82)*K38</f>
        <v>850634.20000000007</v>
      </c>
      <c r="M38" s="91">
        <v>259</v>
      </c>
      <c r="N38" s="77"/>
      <c r="O38" s="159"/>
      <c r="P38" s="160"/>
      <c r="Q38" s="158"/>
    </row>
    <row r="39" spans="1:20" ht="15" thickBot="1" x14ac:dyDescent="0.35">
      <c r="A39" s="92" t="s">
        <v>471</v>
      </c>
      <c r="B39" s="93">
        <v>0.32</v>
      </c>
      <c r="C39" s="93">
        <v>0.75</v>
      </c>
      <c r="D39" s="94">
        <v>376</v>
      </c>
      <c r="E39" s="149"/>
      <c r="F39" s="149">
        <f>(3.18+42.12)*D39</f>
        <v>17032.8</v>
      </c>
      <c r="G39" s="149">
        <f>(3.45+42.12)*D39</f>
        <v>17134.32</v>
      </c>
      <c r="H39" s="149"/>
      <c r="I39" s="95">
        <v>2067</v>
      </c>
      <c r="J39" s="149">
        <f>(6.74+66.05+44.96+3.78+95.3+9.47+2.97)*I39</f>
        <v>473901.08999999997</v>
      </c>
      <c r="K39" s="94">
        <v>243</v>
      </c>
      <c r="L39" s="149">
        <f>(13+304.9+41.66+54.08)*K39</f>
        <v>100514.51999999999</v>
      </c>
      <c r="M39" s="96">
        <v>30</v>
      </c>
      <c r="N39" s="77"/>
      <c r="O39" s="159"/>
      <c r="P39" s="160"/>
      <c r="Q39" s="158"/>
    </row>
    <row r="40" spans="1:20" x14ac:dyDescent="0.3">
      <c r="N40" s="158"/>
      <c r="O40" s="158"/>
      <c r="P40" s="158"/>
      <c r="Q40" s="158"/>
    </row>
    <row r="41" spans="1:20" x14ac:dyDescent="0.3">
      <c r="N41" s="158"/>
      <c r="O41" s="158"/>
      <c r="P41" s="158"/>
      <c r="Q41" s="158"/>
    </row>
    <row r="42" spans="1:20" x14ac:dyDescent="0.3">
      <c r="M42" s="148"/>
      <c r="N42" s="151"/>
      <c r="O42" s="151"/>
      <c r="P42" s="158"/>
      <c r="Q42" s="158"/>
      <c r="R42" s="148"/>
      <c r="S42" s="148"/>
      <c r="T42" s="148"/>
    </row>
    <row r="43" spans="1:20" s="150" customFormat="1" x14ac:dyDescent="0.3">
      <c r="M43" s="154"/>
      <c r="N43" s="161"/>
      <c r="O43" s="161"/>
      <c r="P43" s="161"/>
      <c r="Q43" s="161"/>
      <c r="R43" s="155"/>
      <c r="S43" s="155"/>
      <c r="T43" s="155"/>
    </row>
    <row r="44" spans="1:20" x14ac:dyDescent="0.3">
      <c r="M44" s="154"/>
      <c r="N44" s="161"/>
      <c r="O44" s="161"/>
      <c r="P44" s="161"/>
      <c r="Q44" s="161"/>
      <c r="R44" s="155"/>
      <c r="S44" s="155"/>
      <c r="T44" s="155"/>
    </row>
    <row r="45" spans="1:20" x14ac:dyDescent="0.3">
      <c r="M45" s="148"/>
      <c r="N45" s="148"/>
      <c r="O45" s="148"/>
      <c r="P45" s="148"/>
      <c r="Q45" s="148"/>
      <c r="R45" s="148"/>
      <c r="S45" s="148"/>
      <c r="T45" s="148"/>
    </row>
    <row r="46" spans="1:20" x14ac:dyDescent="0.3">
      <c r="M46" s="148"/>
      <c r="N46" s="148"/>
      <c r="O46" s="148"/>
      <c r="P46" s="148"/>
      <c r="Q46" s="148"/>
      <c r="R46" s="148"/>
      <c r="S46" s="148"/>
      <c r="T46" s="148"/>
    </row>
  </sheetData>
  <mergeCells count="8">
    <mergeCell ref="A34:A37"/>
    <mergeCell ref="A28:A30"/>
    <mergeCell ref="A8:A10"/>
    <mergeCell ref="A6:A7"/>
    <mergeCell ref="A26:A27"/>
    <mergeCell ref="A11:A12"/>
    <mergeCell ref="A14:A17"/>
    <mergeCell ref="A31:A32"/>
  </mergeCells>
  <phoneticPr fontId="1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E88A2-C580-4C9D-993D-CA69A07C4675}">
  <sheetPr>
    <tabColor theme="9" tint="-0.249977111117893"/>
  </sheetPr>
  <dimension ref="A1:W49"/>
  <sheetViews>
    <sheetView topLeftCell="C1" workbookViewId="0">
      <pane ySplit="1" topLeftCell="A2" activePane="bottomLeft" state="frozen"/>
      <selection pane="bottomLeft" activeCell="T13" sqref="T13"/>
    </sheetView>
  </sheetViews>
  <sheetFormatPr defaultColWidth="8.88671875" defaultRowHeight="13.8" x14ac:dyDescent="0.25"/>
  <cols>
    <col min="1" max="1" width="4.33203125" style="80" bestFit="1" customWidth="1"/>
    <col min="2" max="2" width="69.88671875" style="80" bestFit="1" customWidth="1"/>
    <col min="3" max="4" width="8.88671875" style="80"/>
    <col min="5" max="6" width="10.6640625" style="80" bestFit="1" customWidth="1"/>
    <col min="7" max="7" width="11.44140625" style="80" bestFit="1" customWidth="1"/>
    <col min="8" max="8" width="10.33203125" style="80" customWidth="1"/>
    <col min="9" max="9" width="10.6640625" style="80" customWidth="1"/>
    <col min="10" max="10" width="12.33203125" style="80" bestFit="1" customWidth="1"/>
    <col min="11" max="14" width="8.88671875" style="80"/>
    <col min="15" max="15" width="12.6640625" style="80" bestFit="1" customWidth="1"/>
    <col min="16" max="16384" width="8.88671875" style="80"/>
  </cols>
  <sheetData>
    <row r="1" spans="1:23" ht="27" thickBot="1" x14ac:dyDescent="0.3">
      <c r="A1" s="44" t="s">
        <v>69</v>
      </c>
      <c r="B1" s="45" t="s">
        <v>70</v>
      </c>
      <c r="C1" s="74" t="s">
        <v>71</v>
      </c>
      <c r="D1" s="73" t="s">
        <v>72</v>
      </c>
      <c r="E1" s="48" t="s">
        <v>73</v>
      </c>
      <c r="F1" s="48" t="s">
        <v>74</v>
      </c>
      <c r="G1" s="46" t="s">
        <v>475</v>
      </c>
      <c r="H1" s="46" t="s">
        <v>75</v>
      </c>
      <c r="I1" s="47" t="s">
        <v>76</v>
      </c>
      <c r="J1" s="48" t="s">
        <v>77</v>
      </c>
      <c r="K1" s="49" t="s">
        <v>78</v>
      </c>
      <c r="L1" s="49" t="s">
        <v>79</v>
      </c>
      <c r="M1" s="45" t="s">
        <v>80</v>
      </c>
      <c r="N1" s="45" t="s">
        <v>81</v>
      </c>
      <c r="O1" s="45" t="s">
        <v>82</v>
      </c>
      <c r="P1" s="79"/>
    </row>
    <row r="2" spans="1:23" ht="15" customHeight="1" x14ac:dyDescent="0.25">
      <c r="B2" s="2" t="s">
        <v>0</v>
      </c>
      <c r="C2" s="81"/>
    </row>
    <row r="3" spans="1:23" x14ac:dyDescent="0.25">
      <c r="A3" s="61">
        <v>186</v>
      </c>
      <c r="B3" s="66" t="s">
        <v>401</v>
      </c>
      <c r="C3" s="75">
        <v>0.5174397709320695</v>
      </c>
      <c r="D3" s="52">
        <v>1946</v>
      </c>
      <c r="E3" s="53">
        <v>110</v>
      </c>
      <c r="F3" s="54">
        <v>405</v>
      </c>
      <c r="G3" s="55">
        <v>967.96874999999977</v>
      </c>
      <c r="H3" s="55">
        <v>0.47362514029180697</v>
      </c>
      <c r="I3" s="55">
        <v>0.55000000000000004</v>
      </c>
      <c r="J3" s="55">
        <v>121.03125</v>
      </c>
      <c r="K3" s="56">
        <v>84</v>
      </c>
      <c r="L3" s="55">
        <v>1.4408482142857142</v>
      </c>
      <c r="M3" s="52" t="s">
        <v>85</v>
      </c>
      <c r="N3" s="52" t="s">
        <v>85</v>
      </c>
      <c r="O3" s="14">
        <v>18</v>
      </c>
      <c r="P3" s="71"/>
    </row>
    <row r="4" spans="1:23" x14ac:dyDescent="0.25">
      <c r="A4" s="61">
        <v>187</v>
      </c>
      <c r="B4" s="66" t="s">
        <v>402</v>
      </c>
      <c r="C4" s="75">
        <v>0.48339415169876654</v>
      </c>
      <c r="D4" s="52">
        <v>1946</v>
      </c>
      <c r="E4" s="53">
        <v>58</v>
      </c>
      <c r="F4" s="54">
        <v>175</v>
      </c>
      <c r="G4" s="55">
        <v>523.48124999999993</v>
      </c>
      <c r="H4" s="55">
        <v>0.53344877344877351</v>
      </c>
      <c r="I4" s="55">
        <v>0.55000000000000004</v>
      </c>
      <c r="J4" s="55">
        <v>50.71875</v>
      </c>
      <c r="K4" s="56">
        <v>37</v>
      </c>
      <c r="L4" s="55">
        <v>1.370777027027027</v>
      </c>
      <c r="M4" s="52" t="s">
        <v>85</v>
      </c>
      <c r="N4" s="52" t="s">
        <v>85</v>
      </c>
      <c r="O4" s="14">
        <v>6</v>
      </c>
      <c r="P4" s="71"/>
    </row>
    <row r="5" spans="1:23" ht="15" customHeight="1" x14ac:dyDescent="0.25">
      <c r="A5" s="61">
        <v>188</v>
      </c>
      <c r="B5" s="66" t="s">
        <v>403</v>
      </c>
      <c r="C5" s="75">
        <v>0.52412868449781669</v>
      </c>
      <c r="D5" s="52">
        <v>1946</v>
      </c>
      <c r="E5" s="53">
        <v>58</v>
      </c>
      <c r="F5" s="54">
        <v>175</v>
      </c>
      <c r="G5" s="55">
        <v>349.67499999999995</v>
      </c>
      <c r="H5" s="55">
        <v>0.63445887445887439</v>
      </c>
      <c r="I5" s="55">
        <v>0.55000000000000004</v>
      </c>
      <c r="J5" s="55">
        <v>33.125</v>
      </c>
      <c r="K5" s="56">
        <v>22</v>
      </c>
      <c r="L5" s="55">
        <v>1.5056818181818181</v>
      </c>
      <c r="M5" s="52" t="s">
        <v>85</v>
      </c>
      <c r="N5" s="52" t="s">
        <v>85</v>
      </c>
      <c r="O5" s="14">
        <v>4</v>
      </c>
      <c r="P5" s="71"/>
    </row>
    <row r="6" spans="1:23" x14ac:dyDescent="0.25">
      <c r="A6" s="61">
        <v>189</v>
      </c>
      <c r="B6" s="66" t="s">
        <v>404</v>
      </c>
      <c r="C6" s="75">
        <v>0.52412868449781669</v>
      </c>
      <c r="D6" s="52">
        <v>1946</v>
      </c>
      <c r="E6" s="53">
        <v>58</v>
      </c>
      <c r="F6" s="54">
        <v>175</v>
      </c>
      <c r="G6" s="55">
        <v>349.67499999999995</v>
      </c>
      <c r="H6" s="55">
        <v>0.63445887445887439</v>
      </c>
      <c r="I6" s="55">
        <v>0.55000000000000004</v>
      </c>
      <c r="J6" s="55">
        <v>33.125</v>
      </c>
      <c r="K6" s="56">
        <v>24</v>
      </c>
      <c r="L6" s="55">
        <v>1.3802083333333333</v>
      </c>
      <c r="M6" s="52" t="s">
        <v>85</v>
      </c>
      <c r="N6" s="52" t="s">
        <v>85</v>
      </c>
      <c r="O6" s="14">
        <v>4</v>
      </c>
      <c r="P6" s="71"/>
    </row>
    <row r="7" spans="1:23" x14ac:dyDescent="0.25">
      <c r="A7" s="61">
        <v>190</v>
      </c>
      <c r="B7" s="66" t="s">
        <v>405</v>
      </c>
      <c r="C7" s="75">
        <v>0.48339415169876654</v>
      </c>
      <c r="D7" s="52">
        <v>1946</v>
      </c>
      <c r="E7" s="53">
        <v>58</v>
      </c>
      <c r="F7" s="54">
        <v>175</v>
      </c>
      <c r="G7" s="55">
        <v>523.48124999999993</v>
      </c>
      <c r="H7" s="55">
        <v>0.53344877344877351</v>
      </c>
      <c r="I7" s="55">
        <v>0.55000000000000004</v>
      </c>
      <c r="J7" s="55">
        <v>50.71875</v>
      </c>
      <c r="K7" s="56">
        <v>41</v>
      </c>
      <c r="L7" s="55">
        <v>1.2370426829268293</v>
      </c>
      <c r="M7" s="52" t="s">
        <v>85</v>
      </c>
      <c r="N7" s="52" t="s">
        <v>85</v>
      </c>
      <c r="O7" s="14">
        <v>6</v>
      </c>
      <c r="P7" s="71"/>
      <c r="W7" s="217"/>
    </row>
    <row r="8" spans="1:23" x14ac:dyDescent="0.25">
      <c r="A8" s="61">
        <v>191</v>
      </c>
      <c r="B8" s="66" t="s">
        <v>406</v>
      </c>
      <c r="C8" s="75">
        <v>0.48339415169876654</v>
      </c>
      <c r="D8" s="52">
        <v>1946</v>
      </c>
      <c r="E8" s="53">
        <v>58</v>
      </c>
      <c r="F8" s="54">
        <v>175</v>
      </c>
      <c r="G8" s="55">
        <v>523.48124999999993</v>
      </c>
      <c r="H8" s="55">
        <v>0.53344877344877351</v>
      </c>
      <c r="I8" s="55">
        <v>0.55000000000000004</v>
      </c>
      <c r="J8" s="55">
        <v>50.71875</v>
      </c>
      <c r="K8" s="56">
        <v>40</v>
      </c>
      <c r="L8" s="55">
        <v>1.2679687500000001</v>
      </c>
      <c r="M8" s="52" t="s">
        <v>85</v>
      </c>
      <c r="N8" s="52" t="s">
        <v>85</v>
      </c>
      <c r="O8" s="14">
        <v>6</v>
      </c>
      <c r="P8" s="71"/>
    </row>
    <row r="9" spans="1:23" s="84" customFormat="1" x14ac:dyDescent="0.3">
      <c r="C9" s="85" t="s">
        <v>473</v>
      </c>
      <c r="F9" s="86" t="s">
        <v>472</v>
      </c>
      <c r="G9" s="87" t="s">
        <v>472</v>
      </c>
      <c r="I9" s="86" t="s">
        <v>473</v>
      </c>
      <c r="J9" s="86" t="s">
        <v>472</v>
      </c>
      <c r="O9" s="86" t="s">
        <v>472</v>
      </c>
    </row>
    <row r="10" spans="1:23" s="84" customFormat="1" x14ac:dyDescent="0.3">
      <c r="C10" s="88">
        <f>AVERAGE(C3:C8)</f>
        <v>0.50264659917066712</v>
      </c>
      <c r="D10" s="84">
        <f>AVERAGE(D3:D8)</f>
        <v>1946</v>
      </c>
      <c r="F10" s="89">
        <f>SUM(F3:F8)</f>
        <v>1280</v>
      </c>
      <c r="G10" s="89">
        <f>SUM(G3:G8)</f>
        <v>3237.7624999999994</v>
      </c>
      <c r="I10" s="88">
        <f>AVERAGE(I3:I8)</f>
        <v>0.54999999999999993</v>
      </c>
      <c r="J10" s="89">
        <f>SUM(J3:J8)</f>
        <v>339.4375</v>
      </c>
      <c r="O10" s="89">
        <f>SUM(O3:O8)</f>
        <v>44</v>
      </c>
    </row>
    <row r="11" spans="1:23" ht="14.4" thickBot="1" x14ac:dyDescent="0.3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</row>
    <row r="12" spans="1:23" x14ac:dyDescent="0.25">
      <c r="B12" s="2" t="s">
        <v>1</v>
      </c>
      <c r="C12" s="81"/>
    </row>
    <row r="13" spans="1:23" x14ac:dyDescent="0.25">
      <c r="A13" s="57">
        <v>146</v>
      </c>
      <c r="B13" s="66" t="s">
        <v>360</v>
      </c>
      <c r="C13" s="75">
        <v>0.5391403199731577</v>
      </c>
      <c r="D13" s="52">
        <v>1971</v>
      </c>
      <c r="E13" s="53">
        <v>142</v>
      </c>
      <c r="F13" s="54">
        <v>702</v>
      </c>
      <c r="G13" s="55">
        <v>1586.1124999999997</v>
      </c>
      <c r="H13" s="55">
        <v>0.35379435379435376</v>
      </c>
      <c r="I13" s="55">
        <v>0.75</v>
      </c>
      <c r="J13" s="55">
        <v>288.28750000000002</v>
      </c>
      <c r="K13" s="56">
        <v>170</v>
      </c>
      <c r="L13" s="55">
        <v>1.695808823529412</v>
      </c>
      <c r="M13" s="52" t="s">
        <v>85</v>
      </c>
      <c r="N13" s="52" t="s">
        <v>85</v>
      </c>
      <c r="O13" s="14">
        <v>18</v>
      </c>
      <c r="P13" s="71"/>
    </row>
    <row r="14" spans="1:23" x14ac:dyDescent="0.25">
      <c r="A14" s="57">
        <v>154</v>
      </c>
      <c r="B14" s="66" t="s">
        <v>368</v>
      </c>
      <c r="C14" s="75">
        <v>0.52066250550539528</v>
      </c>
      <c r="D14" s="52">
        <v>1971</v>
      </c>
      <c r="E14" s="53">
        <v>82</v>
      </c>
      <c r="F14" s="54">
        <v>367</v>
      </c>
      <c r="G14" s="55">
        <v>932.48749999999984</v>
      </c>
      <c r="H14" s="55">
        <v>0.3749483940219635</v>
      </c>
      <c r="I14" s="55">
        <v>0.75</v>
      </c>
      <c r="J14" s="55">
        <v>149.91249999999999</v>
      </c>
      <c r="K14" s="56">
        <v>101</v>
      </c>
      <c r="L14" s="55">
        <v>1.4842821782178217</v>
      </c>
      <c r="M14" s="52" t="s">
        <v>85</v>
      </c>
      <c r="N14" s="52" t="s">
        <v>85</v>
      </c>
      <c r="O14" s="14">
        <v>18</v>
      </c>
      <c r="P14" s="71"/>
    </row>
    <row r="15" spans="1:23" x14ac:dyDescent="0.25">
      <c r="A15" s="57">
        <v>155</v>
      </c>
      <c r="B15" s="66" t="s">
        <v>369</v>
      </c>
      <c r="C15" s="75">
        <v>0.53169822478412643</v>
      </c>
      <c r="D15" s="52">
        <v>1971</v>
      </c>
      <c r="E15" s="53">
        <v>96</v>
      </c>
      <c r="F15" s="54">
        <v>455</v>
      </c>
      <c r="G15" s="55">
        <v>1079.8874999999998</v>
      </c>
      <c r="H15" s="55">
        <v>0.36250416250416245</v>
      </c>
      <c r="I15" s="55">
        <v>0.75</v>
      </c>
      <c r="J15" s="55">
        <v>187.3125</v>
      </c>
      <c r="K15" s="56">
        <v>121</v>
      </c>
      <c r="L15" s="55">
        <v>1.5480371900826446</v>
      </c>
      <c r="M15" s="52" t="s">
        <v>85</v>
      </c>
      <c r="N15" s="52" t="s">
        <v>85</v>
      </c>
      <c r="O15" s="14">
        <v>24</v>
      </c>
      <c r="P15" s="71"/>
    </row>
    <row r="16" spans="1:23" x14ac:dyDescent="0.25">
      <c r="A16" s="61">
        <v>183</v>
      </c>
      <c r="B16" s="66" t="s">
        <v>398</v>
      </c>
      <c r="C16" s="75">
        <v>0.41163669064748198</v>
      </c>
      <c r="D16" s="52">
        <v>1961</v>
      </c>
      <c r="E16" s="53">
        <v>45</v>
      </c>
      <c r="F16" s="54">
        <v>90</v>
      </c>
      <c r="G16" s="55">
        <v>421.87499999999994</v>
      </c>
      <c r="H16" s="55">
        <v>0.7020202020202021</v>
      </c>
      <c r="I16" s="55">
        <v>0.5</v>
      </c>
      <c r="J16" s="55">
        <v>23.625</v>
      </c>
      <c r="K16" s="56">
        <v>18</v>
      </c>
      <c r="L16" s="55">
        <v>1.3125</v>
      </c>
      <c r="M16" s="52" t="s">
        <v>85</v>
      </c>
      <c r="N16" s="52" t="s">
        <v>85</v>
      </c>
      <c r="O16" s="14">
        <v>3</v>
      </c>
      <c r="P16" s="71"/>
    </row>
    <row r="17" spans="1:16" x14ac:dyDescent="0.25">
      <c r="A17" s="57">
        <v>197</v>
      </c>
      <c r="B17" s="66" t="s">
        <v>412</v>
      </c>
      <c r="C17" s="75">
        <v>0.53722837992101691</v>
      </c>
      <c r="D17" s="52">
        <v>1971</v>
      </c>
      <c r="E17" s="53">
        <v>141</v>
      </c>
      <c r="F17" s="54">
        <v>690</v>
      </c>
      <c r="G17" s="55">
        <v>1578.0124999999998</v>
      </c>
      <c r="H17" s="55">
        <v>0.355862977602108</v>
      </c>
      <c r="I17" s="55">
        <v>0.75</v>
      </c>
      <c r="J17" s="55">
        <v>283.1875</v>
      </c>
      <c r="K17" s="56">
        <v>148</v>
      </c>
      <c r="L17" s="55">
        <v>1.9134290540540539</v>
      </c>
      <c r="M17" s="52" t="s">
        <v>85</v>
      </c>
      <c r="N17" s="52" t="s">
        <v>85</v>
      </c>
      <c r="O17" s="14">
        <v>18</v>
      </c>
      <c r="P17" s="71"/>
    </row>
    <row r="18" spans="1:16" x14ac:dyDescent="0.25">
      <c r="A18" s="57">
        <v>204</v>
      </c>
      <c r="B18" s="66" t="s">
        <v>420</v>
      </c>
      <c r="C18" s="75">
        <v>0.29642671177743118</v>
      </c>
      <c r="D18" s="52">
        <v>1961</v>
      </c>
      <c r="E18" s="53">
        <v>103</v>
      </c>
      <c r="F18" s="54">
        <v>484</v>
      </c>
      <c r="G18" s="55">
        <v>870.48749999999984</v>
      </c>
      <c r="H18" s="55">
        <v>0.41483011937557396</v>
      </c>
      <c r="I18" s="55">
        <v>0.55000000000000004</v>
      </c>
      <c r="J18" s="55">
        <v>149.21249999999998</v>
      </c>
      <c r="K18" s="58">
        <v>99</v>
      </c>
      <c r="L18" s="55">
        <v>1.5071969696969694</v>
      </c>
      <c r="M18" s="52" t="s">
        <v>150</v>
      </c>
      <c r="N18" s="52" t="s">
        <v>85</v>
      </c>
      <c r="O18" s="14">
        <v>12</v>
      </c>
      <c r="P18" s="71"/>
    </row>
    <row r="19" spans="1:16" x14ac:dyDescent="0.25">
      <c r="A19" s="57">
        <v>231</v>
      </c>
      <c r="B19" s="66" t="s">
        <v>446</v>
      </c>
      <c r="C19" s="75">
        <v>0.52641540195888303</v>
      </c>
      <c r="D19" s="52">
        <v>1961</v>
      </c>
      <c r="E19" s="53">
        <v>92</v>
      </c>
      <c r="F19" s="54">
        <v>424</v>
      </c>
      <c r="G19" s="55">
        <v>1040.2624999999998</v>
      </c>
      <c r="H19" s="55">
        <v>0.3684962835906232</v>
      </c>
      <c r="I19" s="55">
        <v>0.75</v>
      </c>
      <c r="J19" s="55">
        <v>174.13749999999999</v>
      </c>
      <c r="K19" s="56">
        <v>86</v>
      </c>
      <c r="L19" s="55">
        <v>2.0248546511627907</v>
      </c>
      <c r="M19" s="52" t="s">
        <v>85</v>
      </c>
      <c r="N19" s="52" t="s">
        <v>85</v>
      </c>
      <c r="O19" s="14">
        <v>12</v>
      </c>
      <c r="P19" s="71"/>
    </row>
    <row r="20" spans="1:16" x14ac:dyDescent="0.25">
      <c r="A20" s="57">
        <v>232</v>
      </c>
      <c r="B20" s="66" t="s">
        <v>447</v>
      </c>
      <c r="C20" s="75">
        <v>0.52641540195888303</v>
      </c>
      <c r="D20" s="52">
        <v>1961</v>
      </c>
      <c r="E20" s="53">
        <v>92</v>
      </c>
      <c r="F20" s="54">
        <v>424</v>
      </c>
      <c r="G20" s="55">
        <v>1040.2624999999998</v>
      </c>
      <c r="H20" s="55">
        <v>0.3684962835906232</v>
      </c>
      <c r="I20" s="55">
        <v>0.75</v>
      </c>
      <c r="J20" s="55">
        <v>174.13749999999999</v>
      </c>
      <c r="K20" s="56">
        <v>86</v>
      </c>
      <c r="L20" s="55">
        <v>2.0248546511627907</v>
      </c>
      <c r="M20" s="52" t="s">
        <v>85</v>
      </c>
      <c r="N20" s="52" t="s">
        <v>85</v>
      </c>
      <c r="O20" s="14">
        <v>12</v>
      </c>
      <c r="P20" s="71"/>
    </row>
    <row r="21" spans="1:16" x14ac:dyDescent="0.25">
      <c r="A21" s="57">
        <v>233</v>
      </c>
      <c r="B21" s="66" t="s">
        <v>448</v>
      </c>
      <c r="C21" s="75">
        <v>0.52641540195888303</v>
      </c>
      <c r="D21" s="52">
        <v>1961</v>
      </c>
      <c r="E21" s="53">
        <v>92</v>
      </c>
      <c r="F21" s="54">
        <v>424</v>
      </c>
      <c r="G21" s="55">
        <v>1040.2624999999998</v>
      </c>
      <c r="H21" s="55">
        <v>0.3684962835906232</v>
      </c>
      <c r="I21" s="55">
        <v>0.75</v>
      </c>
      <c r="J21" s="55">
        <v>174.13749999999999</v>
      </c>
      <c r="K21" s="56">
        <v>86</v>
      </c>
      <c r="L21" s="55">
        <v>2.0248546511627907</v>
      </c>
      <c r="M21" s="52" t="s">
        <v>85</v>
      </c>
      <c r="N21" s="52" t="s">
        <v>85</v>
      </c>
      <c r="O21" s="14">
        <v>12</v>
      </c>
      <c r="P21" s="71"/>
    </row>
    <row r="22" spans="1:16" x14ac:dyDescent="0.25">
      <c r="A22" s="57">
        <v>234</v>
      </c>
      <c r="B22" s="66" t="s">
        <v>449</v>
      </c>
      <c r="C22" s="75">
        <v>0.52641540195888303</v>
      </c>
      <c r="D22" s="52">
        <v>1961</v>
      </c>
      <c r="E22" s="53">
        <v>92</v>
      </c>
      <c r="F22" s="54">
        <v>424</v>
      </c>
      <c r="G22" s="55">
        <v>1040.2624999999998</v>
      </c>
      <c r="H22" s="55">
        <v>0.3684962835906232</v>
      </c>
      <c r="I22" s="55">
        <v>0.75</v>
      </c>
      <c r="J22" s="55">
        <v>174.13749999999999</v>
      </c>
      <c r="K22" s="56">
        <v>87</v>
      </c>
      <c r="L22" s="55">
        <v>2.001580459770115</v>
      </c>
      <c r="M22" s="52" t="s">
        <v>85</v>
      </c>
      <c r="N22" s="52" t="s">
        <v>85</v>
      </c>
      <c r="O22" s="14">
        <v>12</v>
      </c>
      <c r="P22" s="71"/>
    </row>
    <row r="23" spans="1:16" x14ac:dyDescent="0.25">
      <c r="A23" s="57">
        <v>235</v>
      </c>
      <c r="B23" s="66" t="s">
        <v>450</v>
      </c>
      <c r="C23" s="75">
        <v>0.52641540195888303</v>
      </c>
      <c r="D23" s="52">
        <v>1961</v>
      </c>
      <c r="E23" s="53">
        <v>92</v>
      </c>
      <c r="F23" s="54">
        <v>424</v>
      </c>
      <c r="G23" s="55">
        <v>1040.2624999999998</v>
      </c>
      <c r="H23" s="55">
        <v>0.3684962835906232</v>
      </c>
      <c r="I23" s="55">
        <v>0.75</v>
      </c>
      <c r="J23" s="55">
        <v>174.13749999999999</v>
      </c>
      <c r="K23" s="56">
        <v>89</v>
      </c>
      <c r="L23" s="55">
        <v>1.9566011235955054</v>
      </c>
      <c r="M23" s="52" t="s">
        <v>85</v>
      </c>
      <c r="N23" s="52" t="s">
        <v>85</v>
      </c>
      <c r="O23" s="14">
        <v>12</v>
      </c>
      <c r="P23" s="71"/>
    </row>
    <row r="24" spans="1:16" s="84" customFormat="1" x14ac:dyDescent="0.3">
      <c r="C24" s="85" t="s">
        <v>473</v>
      </c>
      <c r="F24" s="86" t="s">
        <v>472</v>
      </c>
      <c r="G24" s="87" t="s">
        <v>472</v>
      </c>
      <c r="I24" s="86" t="s">
        <v>473</v>
      </c>
      <c r="J24" s="86" t="s">
        <v>472</v>
      </c>
      <c r="O24" s="86" t="s">
        <v>472</v>
      </c>
    </row>
    <row r="25" spans="1:16" s="84" customFormat="1" x14ac:dyDescent="0.3">
      <c r="C25" s="88">
        <f>AVERAGE(C13:C23)</f>
        <v>0.4971699856730023</v>
      </c>
      <c r="F25" s="89">
        <f>SUM(F13:F23)</f>
        <v>4908</v>
      </c>
      <c r="G25" s="89">
        <f>SUM(G13:G23)</f>
        <v>11670.174999999999</v>
      </c>
      <c r="I25" s="88">
        <f>AVERAGE(I13:I23)</f>
        <v>0.70909090909090911</v>
      </c>
      <c r="J25" s="89">
        <f>SUM(J13:J23)</f>
        <v>1952.2250000000001</v>
      </c>
      <c r="O25" s="89">
        <f>SUM(O13:O23)</f>
        <v>153</v>
      </c>
    </row>
    <row r="26" spans="1:16" x14ac:dyDescent="0.25">
      <c r="A26" s="76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</row>
    <row r="27" spans="1:16" x14ac:dyDescent="0.25">
      <c r="C27" s="81"/>
    </row>
    <row r="28" spans="1:16" x14ac:dyDescent="0.25">
      <c r="C28" s="81"/>
    </row>
    <row r="29" spans="1:16" x14ac:dyDescent="0.25">
      <c r="C29" s="81"/>
    </row>
    <row r="30" spans="1:16" x14ac:dyDescent="0.25">
      <c r="C30" s="81"/>
    </row>
    <row r="31" spans="1:16" x14ac:dyDescent="0.25">
      <c r="C31" s="81"/>
    </row>
    <row r="32" spans="1:16" x14ac:dyDescent="0.25">
      <c r="C32" s="81"/>
    </row>
    <row r="33" spans="2:12" x14ac:dyDescent="0.25">
      <c r="C33" s="81"/>
    </row>
    <row r="34" spans="2:12" x14ac:dyDescent="0.25">
      <c r="C34" s="81"/>
    </row>
    <row r="35" spans="2:12" x14ac:dyDescent="0.25">
      <c r="B35" s="110"/>
      <c r="C35" s="111"/>
      <c r="D35" s="111"/>
      <c r="E35" s="111"/>
      <c r="F35" s="112"/>
      <c r="G35" s="112"/>
      <c r="H35" s="111"/>
      <c r="I35" s="112"/>
      <c r="J35" s="111"/>
      <c r="K35" s="112"/>
      <c r="L35" s="111"/>
    </row>
    <row r="36" spans="2:12" x14ac:dyDescent="0.25">
      <c r="B36" s="78"/>
      <c r="C36" s="107"/>
      <c r="D36" s="107"/>
      <c r="E36" s="107"/>
      <c r="F36" s="107"/>
      <c r="G36" s="107"/>
      <c r="H36" s="107"/>
      <c r="I36" s="107"/>
      <c r="J36" s="107"/>
      <c r="K36" s="113"/>
      <c r="L36" s="107"/>
    </row>
    <row r="37" spans="2:12" x14ac:dyDescent="0.25">
      <c r="B37" s="77"/>
      <c r="C37" s="114"/>
      <c r="D37" s="78"/>
      <c r="E37" s="108"/>
      <c r="F37" s="115"/>
      <c r="G37" s="108"/>
      <c r="H37" s="115"/>
      <c r="I37" s="108"/>
      <c r="J37" s="108"/>
      <c r="K37" s="113"/>
      <c r="L37" s="108"/>
    </row>
    <row r="38" spans="2:12" x14ac:dyDescent="0.25">
      <c r="B38" s="77"/>
      <c r="C38" s="114"/>
      <c r="D38" s="78"/>
      <c r="E38" s="108"/>
      <c r="F38" s="115"/>
      <c r="G38" s="108"/>
      <c r="H38" s="115"/>
      <c r="I38" s="108"/>
      <c r="J38" s="108"/>
      <c r="K38" s="113"/>
      <c r="L38" s="108"/>
    </row>
    <row r="39" spans="2:12" x14ac:dyDescent="0.25">
      <c r="B39" s="78"/>
      <c r="C39" s="1"/>
      <c r="D39" s="1"/>
      <c r="E39" s="1"/>
      <c r="F39" s="1"/>
      <c r="G39" s="1"/>
      <c r="H39" s="1"/>
      <c r="I39" s="1"/>
      <c r="J39" s="1"/>
      <c r="K39" s="113"/>
      <c r="L39" s="1"/>
    </row>
    <row r="40" spans="2:12" x14ac:dyDescent="0.25">
      <c r="B40" s="77"/>
      <c r="C40" s="78"/>
      <c r="D40" s="78"/>
      <c r="E40" s="108"/>
      <c r="F40" s="115"/>
      <c r="G40" s="108"/>
      <c r="H40" s="115"/>
      <c r="I40" s="109"/>
      <c r="J40" s="108"/>
      <c r="K40" s="113"/>
      <c r="L40" s="108"/>
    </row>
    <row r="41" spans="2:12" x14ac:dyDescent="0.25">
      <c r="B41" s="77"/>
      <c r="C41" s="78"/>
      <c r="D41" s="78"/>
      <c r="E41" s="108"/>
      <c r="F41" s="115"/>
      <c r="G41" s="108"/>
      <c r="H41" s="115"/>
      <c r="I41" s="108"/>
      <c r="J41" s="108"/>
      <c r="K41" s="113"/>
      <c r="L41" s="108"/>
    </row>
    <row r="42" spans="2:12" x14ac:dyDescent="0.25">
      <c r="B42" s="77"/>
      <c r="C42" s="78"/>
      <c r="D42" s="78"/>
      <c r="E42" s="108"/>
      <c r="F42" s="115"/>
      <c r="G42" s="108"/>
      <c r="H42" s="115"/>
      <c r="I42" s="108"/>
      <c r="J42" s="108"/>
      <c r="K42" s="113"/>
      <c r="L42" s="108"/>
    </row>
    <row r="43" spans="2:12" x14ac:dyDescent="0.25">
      <c r="B43" s="77"/>
      <c r="C43" s="78"/>
      <c r="D43" s="78"/>
      <c r="E43" s="108"/>
      <c r="F43" s="115"/>
      <c r="G43" s="108"/>
      <c r="H43" s="115"/>
      <c r="I43" s="108"/>
      <c r="J43" s="108"/>
      <c r="K43" s="113"/>
      <c r="L43" s="108"/>
    </row>
    <row r="44" spans="2:12" x14ac:dyDescent="0.25">
      <c r="B44" s="77"/>
      <c r="C44" s="114"/>
      <c r="D44" s="78"/>
      <c r="E44" s="108"/>
      <c r="F44" s="115"/>
      <c r="G44" s="108"/>
      <c r="H44" s="115"/>
      <c r="I44" s="108"/>
      <c r="J44" s="108"/>
      <c r="K44" s="113"/>
      <c r="L44" s="108"/>
    </row>
    <row r="45" spans="2:12" x14ac:dyDescent="0.25">
      <c r="B45" s="77"/>
      <c r="C45" s="78"/>
      <c r="D45" s="78"/>
      <c r="E45" s="108"/>
      <c r="F45" s="115"/>
      <c r="G45" s="108"/>
      <c r="H45" s="115"/>
      <c r="I45" s="108"/>
      <c r="J45" s="108"/>
      <c r="K45" s="113"/>
      <c r="L45" s="108"/>
    </row>
    <row r="46" spans="2:12" x14ac:dyDescent="0.25">
      <c r="B46" s="77"/>
      <c r="C46" s="78"/>
      <c r="D46" s="78"/>
      <c r="E46" s="108"/>
      <c r="F46" s="115"/>
      <c r="G46" s="108"/>
      <c r="H46" s="115"/>
      <c r="I46" s="108"/>
      <c r="J46" s="108"/>
      <c r="K46" s="113"/>
      <c r="L46" s="108"/>
    </row>
    <row r="47" spans="2:12" x14ac:dyDescent="0.25">
      <c r="C47" s="81"/>
    </row>
    <row r="48" spans="2:12" x14ac:dyDescent="0.25">
      <c r="C48" s="81"/>
    </row>
    <row r="49" spans="3:3" x14ac:dyDescent="0.25">
      <c r="C49" s="81"/>
    </row>
  </sheetData>
  <conditionalFormatting sqref="M1:O1 E1:J1 B1">
    <cfRule type="containsText" dxfId="449" priority="58" operator="containsText" text="CALDAIE MURALI">
      <formula>NOT(ISERROR(SEARCH("CALDAIE MURALI",B1)))</formula>
    </cfRule>
    <cfRule type="containsText" dxfId="448" priority="59" operator="containsText" text="METANO">
      <formula>NOT(ISERROR(SEARCH("METANO",B1)))</formula>
    </cfRule>
    <cfRule type="containsText" dxfId="447" priority="60" operator="containsText" text="TELERISCALDAMENTO">
      <formula>NOT(ISERROR(SEARCH("TELERISCALDAMENTO",B1)))</formula>
    </cfRule>
    <cfRule type="containsText" dxfId="446" priority="61" operator="containsText" text="CENTRALIZZATO">
      <formula>NOT(ISERROR(SEARCH("CENTRALIZZATO",B1)))</formula>
    </cfRule>
  </conditionalFormatting>
  <conditionalFormatting sqref="A1 A11">
    <cfRule type="containsText" dxfId="445" priority="54" operator="containsText" text="CALDAIE MURALI">
      <formula>NOT(ISERROR(SEARCH("CALDAIE MURALI",A1)))</formula>
    </cfRule>
    <cfRule type="containsText" dxfId="444" priority="55" operator="containsText" text="METANO">
      <formula>NOT(ISERROR(SEARCH("METANO",A1)))</formula>
    </cfRule>
    <cfRule type="containsText" dxfId="443" priority="56" operator="containsText" text="TELERISCALDAMENTO">
      <formula>NOT(ISERROR(SEARCH("TELERISCALDAMENTO",A1)))</formula>
    </cfRule>
    <cfRule type="containsText" dxfId="442" priority="57" operator="containsText" text="CENTRALIZZATO">
      <formula>NOT(ISERROR(SEARCH("CENTRALIZZATO",A1)))</formula>
    </cfRule>
  </conditionalFormatting>
  <conditionalFormatting sqref="D1">
    <cfRule type="containsText" dxfId="441" priority="50" operator="containsText" text="CALDAIE MURALI">
      <formula>NOT(ISERROR(SEARCH("CALDAIE MURALI",D1)))</formula>
    </cfRule>
    <cfRule type="containsText" dxfId="440" priority="51" operator="containsText" text="METANO">
      <formula>NOT(ISERROR(SEARCH("METANO",D1)))</formula>
    </cfRule>
    <cfRule type="containsText" dxfId="439" priority="52" operator="containsText" text="TELERISCALDAMENTO">
      <formula>NOT(ISERROR(SEARCH("TELERISCALDAMENTO",D1)))</formula>
    </cfRule>
    <cfRule type="containsText" dxfId="438" priority="53" operator="containsText" text="CENTRALIZZATO">
      <formula>NOT(ISERROR(SEARCH("CENTRALIZZATO",D1)))</formula>
    </cfRule>
  </conditionalFormatting>
  <conditionalFormatting sqref="K1:L1">
    <cfRule type="containsText" dxfId="437" priority="46" operator="containsText" text="CALDAIE MURALI">
      <formula>NOT(ISERROR(SEARCH("CALDAIE MURALI",K1)))</formula>
    </cfRule>
    <cfRule type="containsText" dxfId="436" priority="47" operator="containsText" text="METANO">
      <formula>NOT(ISERROR(SEARCH("METANO",K1)))</formula>
    </cfRule>
    <cfRule type="containsText" dxfId="435" priority="48" operator="containsText" text="TELERISCALDAMENTO">
      <formula>NOT(ISERROR(SEARCH("TELERISCALDAMENTO",K1)))</formula>
    </cfRule>
    <cfRule type="containsText" dxfId="434" priority="49" operator="containsText" text="CENTRALIZZATO">
      <formula>NOT(ISERROR(SEARCH("CENTRALIZZATO",K1)))</formula>
    </cfRule>
  </conditionalFormatting>
  <conditionalFormatting sqref="A3:A8">
    <cfRule type="containsText" dxfId="433" priority="29" operator="containsText" text="CALDAIE MURALI">
      <formula>NOT(ISERROR(SEARCH("CALDAIE MURALI",A3)))</formula>
    </cfRule>
    <cfRule type="containsText" dxfId="432" priority="30" operator="containsText" text="METANO">
      <formula>NOT(ISERROR(SEARCH("METANO",A3)))</formula>
    </cfRule>
    <cfRule type="containsText" dxfId="431" priority="31" operator="containsText" text="TELERISCALDAMENTO">
      <formula>NOT(ISERROR(SEARCH("TELERISCALDAMENTO",A3)))</formula>
    </cfRule>
    <cfRule type="containsText" dxfId="430" priority="32" operator="containsText" text="CENTRALIZZATO">
      <formula>NOT(ISERROR(SEARCH("CENTRALIZZATO",A3)))</formula>
    </cfRule>
  </conditionalFormatting>
  <conditionalFormatting sqref="M3:N8 J3:K8 B3:B8">
    <cfRule type="containsText" dxfId="429" priority="41" operator="containsText" text="CALDAIE MURALI">
      <formula>NOT(ISERROR(SEARCH("CALDAIE MURALI",B3)))</formula>
    </cfRule>
    <cfRule type="containsText" dxfId="428" priority="42" operator="containsText" text="METANO">
      <formula>NOT(ISERROR(SEARCH("METANO",B3)))</formula>
    </cfRule>
    <cfRule type="containsText" dxfId="427" priority="43" operator="containsText" text="TELERISCALDAMENTO">
      <formula>NOT(ISERROR(SEARCH("TELERISCALDAMENTO",B3)))</formula>
    </cfRule>
    <cfRule type="containsText" dxfId="426" priority="44" operator="containsText" text="CENTRALIZZATO">
      <formula>NOT(ISERROR(SEARCH("CENTRALIZZATO",B3)))</formula>
    </cfRule>
  </conditionalFormatting>
  <conditionalFormatting sqref="E3:H8">
    <cfRule type="containsText" dxfId="425" priority="37" operator="containsText" text="CALDAIE MURALI">
      <formula>NOT(ISERROR(SEARCH("CALDAIE MURALI",E3)))</formula>
    </cfRule>
    <cfRule type="containsText" dxfId="424" priority="38" operator="containsText" text="METANO">
      <formula>NOT(ISERROR(SEARCH("METANO",E3)))</formula>
    </cfRule>
    <cfRule type="containsText" dxfId="423" priority="39" operator="containsText" text="TELERISCALDAMENTO">
      <formula>NOT(ISERROR(SEARCH("TELERISCALDAMENTO",E3)))</formula>
    </cfRule>
    <cfRule type="containsText" dxfId="422" priority="40" operator="containsText" text="CENTRALIZZATO">
      <formula>NOT(ISERROR(SEARCH("CENTRALIZZATO",E3)))</formula>
    </cfRule>
  </conditionalFormatting>
  <conditionalFormatting sqref="L3:L8">
    <cfRule type="containsText" dxfId="421" priority="33" operator="containsText" text="CALDAIE MURALI">
      <formula>NOT(ISERROR(SEARCH("CALDAIE MURALI",L3)))</formula>
    </cfRule>
    <cfRule type="containsText" dxfId="420" priority="34" operator="containsText" text="METANO">
      <formula>NOT(ISERROR(SEARCH("METANO",L3)))</formula>
    </cfRule>
    <cfRule type="containsText" dxfId="419" priority="35" operator="containsText" text="TELERISCALDAMENTO">
      <formula>NOT(ISERROR(SEARCH("TELERISCALDAMENTO",L3)))</formula>
    </cfRule>
    <cfRule type="containsText" dxfId="418" priority="36" operator="containsText" text="CENTRALIZZATO">
      <formula>NOT(ISERROR(SEARCH("CENTRALIZZATO",L3)))</formula>
    </cfRule>
  </conditionalFormatting>
  <conditionalFormatting sqref="J13:K23 M13:N23 B13:B23">
    <cfRule type="containsText" dxfId="417" priority="25" operator="containsText" text="CALDAIE MURALI">
      <formula>NOT(ISERROR(SEARCH("CALDAIE MURALI",B13)))</formula>
    </cfRule>
    <cfRule type="containsText" dxfId="416" priority="26" operator="containsText" text="METANO">
      <formula>NOT(ISERROR(SEARCH("METANO",B13)))</formula>
    </cfRule>
    <cfRule type="containsText" dxfId="415" priority="27" operator="containsText" text="TELERISCALDAMENTO">
      <formula>NOT(ISERROR(SEARCH("TELERISCALDAMENTO",B13)))</formula>
    </cfRule>
    <cfRule type="containsText" dxfId="414" priority="28" operator="containsText" text="CENTRALIZZATO">
      <formula>NOT(ISERROR(SEARCH("CENTRALIZZATO",B13)))</formula>
    </cfRule>
  </conditionalFormatting>
  <conditionalFormatting sqref="E13:H23">
    <cfRule type="containsText" dxfId="413" priority="21" operator="containsText" text="CALDAIE MURALI">
      <formula>NOT(ISERROR(SEARCH("CALDAIE MURALI",E13)))</formula>
    </cfRule>
    <cfRule type="containsText" dxfId="412" priority="22" operator="containsText" text="METANO">
      <formula>NOT(ISERROR(SEARCH("METANO",E13)))</formula>
    </cfRule>
    <cfRule type="containsText" dxfId="411" priority="23" operator="containsText" text="TELERISCALDAMENTO">
      <formula>NOT(ISERROR(SEARCH("TELERISCALDAMENTO",E13)))</formula>
    </cfRule>
    <cfRule type="containsText" dxfId="410" priority="24" operator="containsText" text="CENTRALIZZATO">
      <formula>NOT(ISERROR(SEARCH("CENTRALIZZATO",E13)))</formula>
    </cfRule>
  </conditionalFormatting>
  <conditionalFormatting sqref="L13:L23">
    <cfRule type="containsText" dxfId="409" priority="17" operator="containsText" text="CALDAIE MURALI">
      <formula>NOT(ISERROR(SEARCH("CALDAIE MURALI",L13)))</formula>
    </cfRule>
    <cfRule type="containsText" dxfId="408" priority="18" operator="containsText" text="METANO">
      <formula>NOT(ISERROR(SEARCH("METANO",L13)))</formula>
    </cfRule>
    <cfRule type="containsText" dxfId="407" priority="19" operator="containsText" text="TELERISCALDAMENTO">
      <formula>NOT(ISERROR(SEARCH("TELERISCALDAMENTO",L13)))</formula>
    </cfRule>
    <cfRule type="containsText" dxfId="406" priority="20" operator="containsText" text="CENTRALIZZATO">
      <formula>NOT(ISERROR(SEARCH("CENTRALIZZATO",L13)))</formula>
    </cfRule>
  </conditionalFormatting>
  <conditionalFormatting sqref="A13:A15">
    <cfRule type="containsText" dxfId="405" priority="13" operator="containsText" text="CALDAIE MURALI">
      <formula>NOT(ISERROR(SEARCH("CALDAIE MURALI",A13)))</formula>
    </cfRule>
    <cfRule type="containsText" dxfId="404" priority="14" operator="containsText" text="METANO">
      <formula>NOT(ISERROR(SEARCH("METANO",A13)))</formula>
    </cfRule>
    <cfRule type="containsText" dxfId="403" priority="15" operator="containsText" text="TELERISCALDAMENTO">
      <formula>NOT(ISERROR(SEARCH("TELERISCALDAMENTO",A13)))</formula>
    </cfRule>
    <cfRule type="containsText" dxfId="402" priority="16" operator="containsText" text="CENTRALIZZATO">
      <formula>NOT(ISERROR(SEARCH("CENTRALIZZATO",A13)))</formula>
    </cfRule>
  </conditionalFormatting>
  <conditionalFormatting sqref="A16:A20">
    <cfRule type="containsText" dxfId="401" priority="9" operator="containsText" text="CALDAIE MURALI">
      <formula>NOT(ISERROR(SEARCH("CALDAIE MURALI",A16)))</formula>
    </cfRule>
    <cfRule type="containsText" dxfId="400" priority="10" operator="containsText" text="METANO">
      <formula>NOT(ISERROR(SEARCH("METANO",A16)))</formula>
    </cfRule>
    <cfRule type="containsText" dxfId="399" priority="11" operator="containsText" text="TELERISCALDAMENTO">
      <formula>NOT(ISERROR(SEARCH("TELERISCALDAMENTO",A16)))</formula>
    </cfRule>
    <cfRule type="containsText" dxfId="398" priority="12" operator="containsText" text="CENTRALIZZATO">
      <formula>NOT(ISERROR(SEARCH("CENTRALIZZATO",A16)))</formula>
    </cfRule>
  </conditionalFormatting>
  <conditionalFormatting sqref="A21:A23">
    <cfRule type="containsText" dxfId="397" priority="5" operator="containsText" text="CALDAIE MURALI">
      <formula>NOT(ISERROR(SEARCH("CALDAIE MURALI",A21)))</formula>
    </cfRule>
    <cfRule type="containsText" dxfId="396" priority="6" operator="containsText" text="METANO">
      <formula>NOT(ISERROR(SEARCH("METANO",A21)))</formula>
    </cfRule>
    <cfRule type="containsText" dxfId="395" priority="7" operator="containsText" text="TELERISCALDAMENTO">
      <formula>NOT(ISERROR(SEARCH("TELERISCALDAMENTO",A21)))</formula>
    </cfRule>
    <cfRule type="containsText" dxfId="394" priority="8" operator="containsText" text="CENTRALIZZATO">
      <formula>NOT(ISERROR(SEARCH("CENTRALIZZATO",A21)))</formula>
    </cfRule>
  </conditionalFormatting>
  <conditionalFormatting sqref="C3:C8 C13:C23">
    <cfRule type="cellIs" dxfId="393" priority="246" operator="lessThanOrEqual">
      <formula>#REF!</formula>
    </cfRule>
    <cfRule type="cellIs" dxfId="392" priority="247" operator="greaterThan">
      <formula>#REF!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5" operator="containsText" id="{9DC5786C-E054-4AF5-9F03-548E9DC6C6D9}">
            <xm:f>NOT(ISERROR(SEARCH(#REF!,O1)))</xm:f>
            <xm:f>#REF!</xm:f>
            <x14:dxf>
              <fill>
                <patternFill>
                  <bgColor theme="2" tint="-9.9948118533890809E-2"/>
                </patternFill>
              </fill>
            </x14:dxf>
          </x14:cfRule>
          <xm:sqref>O1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0CE94-3CBA-4CC2-B04A-98A8A40CA4C5}">
  <sheetPr>
    <tabColor theme="9" tint="-0.249977111117893"/>
  </sheetPr>
  <dimension ref="A1:P16"/>
  <sheetViews>
    <sheetView workbookViewId="0">
      <selection activeCell="G10" sqref="G10"/>
    </sheetView>
  </sheetViews>
  <sheetFormatPr defaultRowHeight="14.4" x14ac:dyDescent="0.3"/>
  <cols>
    <col min="2" max="2" width="65.5546875" bestFit="1" customWidth="1"/>
    <col min="5" max="5" width="10.6640625" bestFit="1" customWidth="1"/>
    <col min="6" max="6" width="11" bestFit="1" customWidth="1"/>
    <col min="10" max="10" width="12.44140625" bestFit="1" customWidth="1"/>
  </cols>
  <sheetData>
    <row r="1" spans="1:16" s="80" customFormat="1" ht="36" x14ac:dyDescent="0.25">
      <c r="B1" s="2" t="s">
        <v>9</v>
      </c>
      <c r="C1" s="74" t="s">
        <v>71</v>
      </c>
      <c r="D1" s="73" t="s">
        <v>72</v>
      </c>
      <c r="E1" s="48" t="s">
        <v>73</v>
      </c>
      <c r="F1" s="48" t="s">
        <v>74</v>
      </c>
      <c r="G1" s="46" t="s">
        <v>475</v>
      </c>
      <c r="H1" s="46" t="s">
        <v>75</v>
      </c>
      <c r="I1" s="47" t="s">
        <v>76</v>
      </c>
      <c r="J1" s="48" t="s">
        <v>77</v>
      </c>
      <c r="K1" s="49" t="s">
        <v>78</v>
      </c>
      <c r="L1" s="49" t="s">
        <v>79</v>
      </c>
      <c r="M1" s="45" t="s">
        <v>80</v>
      </c>
      <c r="N1" s="45" t="s">
        <v>81</v>
      </c>
      <c r="O1" s="45" t="s">
        <v>82</v>
      </c>
    </row>
    <row r="2" spans="1:16" s="80" customFormat="1" ht="13.8" x14ac:dyDescent="0.25">
      <c r="A2" s="64" t="s">
        <v>317</v>
      </c>
      <c r="B2" s="51" t="s">
        <v>318</v>
      </c>
      <c r="C2" s="75">
        <v>0.53519949467591166</v>
      </c>
      <c r="D2" s="52">
        <v>1900</v>
      </c>
      <c r="E2" s="53">
        <v>107</v>
      </c>
      <c r="F2" s="54">
        <v>556</v>
      </c>
      <c r="G2" s="55">
        <v>1772.2124999999999</v>
      </c>
      <c r="H2" s="55">
        <v>0.29345614417556865</v>
      </c>
      <c r="I2" s="55">
        <v>0.75</v>
      </c>
      <c r="J2" s="55">
        <v>346.38750000000005</v>
      </c>
      <c r="K2" s="56">
        <v>230</v>
      </c>
      <c r="L2" s="55">
        <v>1.5060326086956524</v>
      </c>
      <c r="M2" s="52" t="s">
        <v>85</v>
      </c>
      <c r="N2" s="52" t="s">
        <v>150</v>
      </c>
      <c r="O2" s="14">
        <v>27</v>
      </c>
      <c r="P2" s="71"/>
    </row>
    <row r="3" spans="1:16" s="80" customFormat="1" ht="13.8" x14ac:dyDescent="0.25">
      <c r="A3" s="64" t="s">
        <v>319</v>
      </c>
      <c r="B3" s="51" t="s">
        <v>320</v>
      </c>
      <c r="C3" s="75">
        <v>0.61673313240948413</v>
      </c>
      <c r="D3" s="52">
        <v>1819</v>
      </c>
      <c r="E3" s="53">
        <v>250</v>
      </c>
      <c r="F3" s="54">
        <v>1471</v>
      </c>
      <c r="G3" s="55">
        <v>2688.8874999999998</v>
      </c>
      <c r="H3" s="55">
        <v>0.32146756483942068</v>
      </c>
      <c r="I3" s="55">
        <v>0.75</v>
      </c>
      <c r="J3" s="55">
        <v>611.11249999999995</v>
      </c>
      <c r="K3" s="58">
        <v>398</v>
      </c>
      <c r="L3" s="55">
        <v>1.5354585427135676</v>
      </c>
      <c r="M3" s="52" t="s">
        <v>85</v>
      </c>
      <c r="N3" s="52" t="s">
        <v>150</v>
      </c>
      <c r="O3" s="14">
        <v>17</v>
      </c>
      <c r="P3" s="71"/>
    </row>
    <row r="4" spans="1:16" s="80" customFormat="1" ht="13.8" x14ac:dyDescent="0.25">
      <c r="A4" s="64" t="s">
        <v>333</v>
      </c>
      <c r="B4" s="51" t="s">
        <v>334</v>
      </c>
      <c r="C4" s="75">
        <v>0.38862198563945083</v>
      </c>
      <c r="D4" s="52">
        <v>1900</v>
      </c>
      <c r="E4" s="53">
        <v>44</v>
      </c>
      <c r="F4" s="54">
        <v>118</v>
      </c>
      <c r="G4" s="55">
        <v>804.0374999999998</v>
      </c>
      <c r="H4" s="55">
        <v>0.47389145694230439</v>
      </c>
      <c r="I4" s="55">
        <v>0.55000000000000004</v>
      </c>
      <c r="J4" s="55">
        <v>67.162499999999994</v>
      </c>
      <c r="K4" s="58">
        <v>51</v>
      </c>
      <c r="L4" s="55">
        <v>1.3169117647058823</v>
      </c>
      <c r="M4" s="52" t="s">
        <v>85</v>
      </c>
      <c r="N4" s="52" t="s">
        <v>150</v>
      </c>
      <c r="O4" s="14">
        <v>9</v>
      </c>
      <c r="P4" s="71"/>
    </row>
    <row r="5" spans="1:16" s="80" customFormat="1" ht="13.8" x14ac:dyDescent="0.25">
      <c r="A5" s="64" t="s">
        <v>335</v>
      </c>
      <c r="B5" s="51" t="s">
        <v>336</v>
      </c>
      <c r="C5" s="75">
        <v>0.46713886095949436</v>
      </c>
      <c r="D5" s="52">
        <v>1900</v>
      </c>
      <c r="E5" s="53">
        <v>154</v>
      </c>
      <c r="F5" s="54">
        <v>658</v>
      </c>
      <c r="G5" s="55">
        <v>3098.0749999999998</v>
      </c>
      <c r="H5" s="55">
        <v>0.32062263977157596</v>
      </c>
      <c r="I5" s="55">
        <v>0.75</v>
      </c>
      <c r="J5" s="55">
        <v>459.32499999999993</v>
      </c>
      <c r="K5" s="56">
        <v>382</v>
      </c>
      <c r="L5" s="55">
        <v>1.2024214659685861</v>
      </c>
      <c r="M5" s="52" t="s">
        <v>85</v>
      </c>
      <c r="N5" s="52" t="s">
        <v>150</v>
      </c>
      <c r="O5" s="14">
        <v>30</v>
      </c>
      <c r="P5" s="71"/>
    </row>
    <row r="6" spans="1:16" s="80" customFormat="1" ht="13.8" x14ac:dyDescent="0.25">
      <c r="A6" s="65" t="s">
        <v>329</v>
      </c>
      <c r="B6" s="51" t="s">
        <v>330</v>
      </c>
      <c r="C6" s="75">
        <v>0.6174463538891849</v>
      </c>
      <c r="D6" s="52">
        <v>1819</v>
      </c>
      <c r="E6" s="53">
        <v>150</v>
      </c>
      <c r="F6" s="54">
        <v>887</v>
      </c>
      <c r="G6" s="55">
        <v>1613.0875000000001</v>
      </c>
      <c r="H6" s="55">
        <v>0.32062450889959349</v>
      </c>
      <c r="I6" s="55">
        <v>0.75</v>
      </c>
      <c r="J6" s="55">
        <v>366.91250000000002</v>
      </c>
      <c r="K6" s="56">
        <v>239</v>
      </c>
      <c r="L6" s="55">
        <v>1.5351987447698745</v>
      </c>
      <c r="M6" s="52" t="s">
        <v>85</v>
      </c>
      <c r="N6" s="52" t="s">
        <v>150</v>
      </c>
      <c r="O6" s="14">
        <v>13</v>
      </c>
      <c r="P6" s="71"/>
    </row>
    <row r="7" spans="1:16" s="80" customFormat="1" ht="13.8" x14ac:dyDescent="0.25">
      <c r="A7" s="62">
        <v>203</v>
      </c>
      <c r="B7" s="51" t="s">
        <v>418</v>
      </c>
      <c r="C7" s="75">
        <v>0.5355606574292453</v>
      </c>
      <c r="D7" s="52">
        <v>1851</v>
      </c>
      <c r="E7" s="53">
        <v>32</v>
      </c>
      <c r="F7" s="54">
        <v>160</v>
      </c>
      <c r="G7" s="55">
        <v>455.0625</v>
      </c>
      <c r="H7" s="55">
        <v>0.32121212121212123</v>
      </c>
      <c r="I7" s="55">
        <v>0.75</v>
      </c>
      <c r="J7" s="55">
        <v>72.9375</v>
      </c>
      <c r="K7" s="56">
        <v>50</v>
      </c>
      <c r="L7" s="55">
        <v>1.45875</v>
      </c>
      <c r="M7" s="52" t="s">
        <v>419</v>
      </c>
      <c r="N7" s="52" t="s">
        <v>150</v>
      </c>
      <c r="O7" s="14">
        <v>59</v>
      </c>
      <c r="P7" s="71"/>
    </row>
    <row r="8" spans="1:16" s="80" customFormat="1" ht="13.8" x14ac:dyDescent="0.25">
      <c r="A8" s="64">
        <v>196</v>
      </c>
      <c r="B8" s="51" t="s">
        <v>411</v>
      </c>
      <c r="C8" s="75">
        <v>0.44131016700893932</v>
      </c>
      <c r="D8" s="52">
        <v>1850</v>
      </c>
      <c r="E8" s="53">
        <v>310</v>
      </c>
      <c r="F8" s="54">
        <v>1070</v>
      </c>
      <c r="G8" s="55">
        <v>5487.9374999999991</v>
      </c>
      <c r="H8" s="55">
        <v>0.39072972717832538</v>
      </c>
      <c r="I8" s="55">
        <v>0.75</v>
      </c>
      <c r="J8" s="55">
        <v>650.0625</v>
      </c>
      <c r="K8" s="56">
        <v>348</v>
      </c>
      <c r="L8" s="55">
        <v>1.8679956896551724</v>
      </c>
      <c r="M8" s="52" t="s">
        <v>85</v>
      </c>
      <c r="N8" s="52" t="s">
        <v>150</v>
      </c>
      <c r="O8" s="14">
        <v>49</v>
      </c>
      <c r="P8" s="71"/>
    </row>
    <row r="9" spans="1:16" s="84" customFormat="1" ht="13.8" x14ac:dyDescent="0.3">
      <c r="B9" s="84" t="s">
        <v>493</v>
      </c>
      <c r="C9" s="85" t="s">
        <v>473</v>
      </c>
      <c r="F9" s="86" t="s">
        <v>472</v>
      </c>
      <c r="G9" s="87" t="s">
        <v>472</v>
      </c>
      <c r="I9" s="86" t="s">
        <v>473</v>
      </c>
      <c r="J9" s="86" t="s">
        <v>472</v>
      </c>
      <c r="O9" s="86" t="s">
        <v>472</v>
      </c>
    </row>
    <row r="10" spans="1:16" s="84" customFormat="1" ht="13.8" x14ac:dyDescent="0.3">
      <c r="C10" s="88">
        <f>AVERAGE(C2:C8)</f>
        <v>0.51457295028738714</v>
      </c>
      <c r="F10" s="89">
        <f>SUM(F2:F8)</f>
        <v>4920</v>
      </c>
      <c r="G10" s="89">
        <f>SUM(G2:G8)</f>
        <v>15919.299999999996</v>
      </c>
      <c r="I10" s="88">
        <f>AVERAGE(I2:I8)</f>
        <v>0.72142857142857142</v>
      </c>
      <c r="J10" s="89">
        <f>SUM(J2:J8)</f>
        <v>2573.8999999999996</v>
      </c>
      <c r="O10" s="89">
        <f>SUM(O2:O8)</f>
        <v>204</v>
      </c>
    </row>
    <row r="13" spans="1:16" s="80" customFormat="1" ht="13.8" x14ac:dyDescent="0.25">
      <c r="A13" s="64" t="s">
        <v>331</v>
      </c>
      <c r="B13" s="51" t="s">
        <v>332</v>
      </c>
      <c r="C13" s="75">
        <v>0.45850235703721959</v>
      </c>
      <c r="D13" s="52">
        <v>1900</v>
      </c>
      <c r="E13" s="53">
        <v>89</v>
      </c>
      <c r="F13" s="54">
        <v>336</v>
      </c>
      <c r="G13" s="55">
        <v>1556.0624999999998</v>
      </c>
      <c r="H13" s="55">
        <v>0.36589105339105338</v>
      </c>
      <c r="I13" s="55">
        <v>0.75</v>
      </c>
      <c r="J13" s="55">
        <v>206.13750000000002</v>
      </c>
      <c r="K13" s="56">
        <v>159</v>
      </c>
      <c r="L13" s="55">
        <v>1.2964622641509436</v>
      </c>
      <c r="M13" s="52" t="s">
        <v>85</v>
      </c>
      <c r="N13" s="52" t="s">
        <v>85</v>
      </c>
      <c r="O13" s="14">
        <v>18</v>
      </c>
      <c r="P13" s="71"/>
    </row>
    <row r="14" spans="1:16" s="80" customFormat="1" ht="13.8" x14ac:dyDescent="0.25">
      <c r="A14" s="65" t="s">
        <v>370</v>
      </c>
      <c r="B14" s="51" t="s">
        <v>371</v>
      </c>
      <c r="C14" s="75">
        <v>0.35863926991150447</v>
      </c>
      <c r="D14" s="52">
        <v>1850</v>
      </c>
      <c r="E14" s="53">
        <v>145</v>
      </c>
      <c r="F14" s="54">
        <v>696</v>
      </c>
      <c r="G14" s="55">
        <v>1376.4124999999999</v>
      </c>
      <c r="H14" s="55">
        <v>0.36217948717948717</v>
      </c>
      <c r="I14" s="55">
        <v>0.55000000000000004</v>
      </c>
      <c r="J14" s="55">
        <v>508.58750000000003</v>
      </c>
      <c r="K14" s="56">
        <v>250</v>
      </c>
      <c r="L14" s="55">
        <v>2.0343500000000003</v>
      </c>
      <c r="M14" s="52" t="s">
        <v>85</v>
      </c>
      <c r="N14" s="52" t="s">
        <v>85</v>
      </c>
      <c r="O14" s="14">
        <v>13</v>
      </c>
      <c r="P14" s="71"/>
    </row>
    <row r="15" spans="1:16" s="84" customFormat="1" ht="13.8" x14ac:dyDescent="0.3">
      <c r="B15" s="84" t="s">
        <v>492</v>
      </c>
      <c r="C15" s="85" t="s">
        <v>473</v>
      </c>
      <c r="F15" s="86" t="s">
        <v>472</v>
      </c>
      <c r="G15" s="87" t="s">
        <v>472</v>
      </c>
      <c r="I15" s="86" t="s">
        <v>473</v>
      </c>
      <c r="J15" s="86" t="s">
        <v>472</v>
      </c>
      <c r="O15" s="86" t="s">
        <v>472</v>
      </c>
    </row>
    <row r="16" spans="1:16" s="84" customFormat="1" ht="13.8" x14ac:dyDescent="0.3">
      <c r="C16" s="88">
        <f>AVERAGE(C13:C14)</f>
        <v>0.40857081347436203</v>
      </c>
      <c r="F16" s="89">
        <f>SUM(F13:F14)</f>
        <v>1032</v>
      </c>
      <c r="G16" s="89">
        <f>SUM(G13:G14)</f>
        <v>2932.4749999999995</v>
      </c>
      <c r="I16" s="88">
        <f>AVERAGE(I13:I14)</f>
        <v>0.65</v>
      </c>
      <c r="J16" s="89">
        <f>SUM(J13:J14)</f>
        <v>714.72500000000002</v>
      </c>
      <c r="O16" s="89">
        <f>SUM(O13:O14)</f>
        <v>31</v>
      </c>
    </row>
  </sheetData>
  <conditionalFormatting sqref="J2:N5 E2:H5 A2:B5 A8:B8 E8:H8 J8:N8 M6">
    <cfRule type="containsText" dxfId="390" priority="62" operator="containsText" text="CALDAIE MURALI">
      <formula>NOT(ISERROR(SEARCH("CALDAIE MURALI",A2)))</formula>
    </cfRule>
    <cfRule type="containsText" dxfId="389" priority="63" operator="containsText" text="METANO">
      <formula>NOT(ISERROR(SEARCH("METANO",A2)))</formula>
    </cfRule>
    <cfRule type="containsText" dxfId="388" priority="64" operator="containsText" text="TELERISCALDAMENTO">
      <formula>NOT(ISERROR(SEARCH("TELERISCALDAMENTO",A2)))</formula>
    </cfRule>
    <cfRule type="containsText" dxfId="387" priority="65" operator="containsText" text="CENTRALIZZATO">
      <formula>NOT(ISERROR(SEARCH("CENTRALIZZATO",A2)))</formula>
    </cfRule>
  </conditionalFormatting>
  <conditionalFormatting sqref="C2:C5 C8">
    <cfRule type="cellIs" dxfId="386" priority="66" operator="lessThanOrEqual">
      <formula>#REF!</formula>
    </cfRule>
    <cfRule type="cellIs" dxfId="385" priority="67" operator="greaterThan">
      <formula>#REF!</formula>
    </cfRule>
  </conditionalFormatting>
  <conditionalFormatting sqref="J13:K14 M13:N14 B13:B14">
    <cfRule type="containsText" dxfId="384" priority="36" operator="containsText" text="CALDAIE MURALI">
      <formula>NOT(ISERROR(SEARCH("CALDAIE MURALI",B13)))</formula>
    </cfRule>
    <cfRule type="containsText" dxfId="383" priority="37" operator="containsText" text="METANO">
      <formula>NOT(ISERROR(SEARCH("METANO",B13)))</formula>
    </cfRule>
    <cfRule type="containsText" dxfId="382" priority="38" operator="containsText" text="TELERISCALDAMENTO">
      <formula>NOT(ISERROR(SEARCH("TELERISCALDAMENTO",B13)))</formula>
    </cfRule>
    <cfRule type="containsText" dxfId="381" priority="39" operator="containsText" text="CENTRALIZZATO">
      <formula>NOT(ISERROR(SEARCH("CENTRALIZZATO",B13)))</formula>
    </cfRule>
  </conditionalFormatting>
  <conditionalFormatting sqref="A13">
    <cfRule type="containsText" dxfId="380" priority="32" operator="containsText" text="CALDAIE MURALI">
      <formula>NOT(ISERROR(SEARCH("CALDAIE MURALI",A13)))</formula>
    </cfRule>
    <cfRule type="containsText" dxfId="379" priority="33" operator="containsText" text="METANO">
      <formula>NOT(ISERROR(SEARCH("METANO",A13)))</formula>
    </cfRule>
    <cfRule type="containsText" dxfId="378" priority="34" operator="containsText" text="TELERISCALDAMENTO">
      <formula>NOT(ISERROR(SEARCH("TELERISCALDAMENTO",A13)))</formula>
    </cfRule>
    <cfRule type="containsText" dxfId="377" priority="35" operator="containsText" text="CENTRALIZZATO">
      <formula>NOT(ISERROR(SEARCH("CENTRALIZZATO",A13)))</formula>
    </cfRule>
  </conditionalFormatting>
  <conditionalFormatting sqref="E13:H14">
    <cfRule type="containsText" dxfId="376" priority="28" operator="containsText" text="CALDAIE MURALI">
      <formula>NOT(ISERROR(SEARCH("CALDAIE MURALI",E13)))</formula>
    </cfRule>
    <cfRule type="containsText" dxfId="375" priority="29" operator="containsText" text="METANO">
      <formula>NOT(ISERROR(SEARCH("METANO",E13)))</formula>
    </cfRule>
    <cfRule type="containsText" dxfId="374" priority="30" operator="containsText" text="TELERISCALDAMENTO">
      <formula>NOT(ISERROR(SEARCH("TELERISCALDAMENTO",E13)))</formula>
    </cfRule>
    <cfRule type="containsText" dxfId="373" priority="31" operator="containsText" text="CENTRALIZZATO">
      <formula>NOT(ISERROR(SEARCH("CENTRALIZZATO",E13)))</formula>
    </cfRule>
  </conditionalFormatting>
  <conditionalFormatting sqref="L13:L14">
    <cfRule type="containsText" dxfId="372" priority="24" operator="containsText" text="CALDAIE MURALI">
      <formula>NOT(ISERROR(SEARCH("CALDAIE MURALI",L13)))</formula>
    </cfRule>
    <cfRule type="containsText" dxfId="371" priority="25" operator="containsText" text="METANO">
      <formula>NOT(ISERROR(SEARCH("METANO",L13)))</formula>
    </cfRule>
    <cfRule type="containsText" dxfId="370" priority="26" operator="containsText" text="TELERISCALDAMENTO">
      <formula>NOT(ISERROR(SEARCH("TELERISCALDAMENTO",L13)))</formula>
    </cfRule>
    <cfRule type="containsText" dxfId="369" priority="27" operator="containsText" text="CENTRALIZZATO">
      <formula>NOT(ISERROR(SEARCH("CENTRALIZZATO",L13)))</formula>
    </cfRule>
  </conditionalFormatting>
  <conditionalFormatting sqref="C13:C14">
    <cfRule type="cellIs" dxfId="368" priority="40" operator="lessThanOrEqual">
      <formula>#REF!</formula>
    </cfRule>
    <cfRule type="cellIs" dxfId="367" priority="41" operator="greaterThan">
      <formula>#REF!</formula>
    </cfRule>
  </conditionalFormatting>
  <conditionalFormatting sqref="A14">
    <cfRule type="containsText" dxfId="366" priority="20" operator="containsText" text="CALDAIE MURALI">
      <formula>NOT(ISERROR(SEARCH("CALDAIE MURALI",A14)))</formula>
    </cfRule>
    <cfRule type="containsText" dxfId="365" priority="21" operator="containsText" text="METANO">
      <formula>NOT(ISERROR(SEARCH("METANO",A14)))</formula>
    </cfRule>
    <cfRule type="containsText" dxfId="364" priority="22" operator="containsText" text="TELERISCALDAMENTO">
      <formula>NOT(ISERROR(SEARCH("TELERISCALDAMENTO",A14)))</formula>
    </cfRule>
    <cfRule type="containsText" dxfId="363" priority="23" operator="containsText" text="CENTRALIZZATO">
      <formula>NOT(ISERROR(SEARCH("CENTRALIZZATO",A14)))</formula>
    </cfRule>
  </conditionalFormatting>
  <conditionalFormatting sqref="M1:O1 E1:J1">
    <cfRule type="containsText" dxfId="362" priority="16" operator="containsText" text="CALDAIE MURALI">
      <formula>NOT(ISERROR(SEARCH("CALDAIE MURALI",E1)))</formula>
    </cfRule>
    <cfRule type="containsText" dxfId="361" priority="17" operator="containsText" text="METANO">
      <formula>NOT(ISERROR(SEARCH("METANO",E1)))</formula>
    </cfRule>
    <cfRule type="containsText" dxfId="360" priority="18" operator="containsText" text="TELERISCALDAMENTO">
      <formula>NOT(ISERROR(SEARCH("TELERISCALDAMENTO",E1)))</formula>
    </cfRule>
    <cfRule type="containsText" dxfId="359" priority="19" operator="containsText" text="CENTRALIZZATO">
      <formula>NOT(ISERROR(SEARCH("CENTRALIZZATO",E1)))</formula>
    </cfRule>
  </conditionalFormatting>
  <conditionalFormatting sqref="D1">
    <cfRule type="containsText" dxfId="358" priority="12" operator="containsText" text="CALDAIE MURALI">
      <formula>NOT(ISERROR(SEARCH("CALDAIE MURALI",D1)))</formula>
    </cfRule>
    <cfRule type="containsText" dxfId="357" priority="13" operator="containsText" text="METANO">
      <formula>NOT(ISERROR(SEARCH("METANO",D1)))</formula>
    </cfRule>
    <cfRule type="containsText" dxfId="356" priority="14" operator="containsText" text="TELERISCALDAMENTO">
      <formula>NOT(ISERROR(SEARCH("TELERISCALDAMENTO",D1)))</formula>
    </cfRule>
    <cfRule type="containsText" dxfId="355" priority="15" operator="containsText" text="CENTRALIZZATO">
      <formula>NOT(ISERROR(SEARCH("CENTRALIZZATO",D1)))</formula>
    </cfRule>
  </conditionalFormatting>
  <conditionalFormatting sqref="K1:L1">
    <cfRule type="containsText" dxfId="354" priority="8" operator="containsText" text="CALDAIE MURALI">
      <formula>NOT(ISERROR(SEARCH("CALDAIE MURALI",K1)))</formula>
    </cfRule>
    <cfRule type="containsText" dxfId="353" priority="9" operator="containsText" text="METANO">
      <formula>NOT(ISERROR(SEARCH("METANO",K1)))</formula>
    </cfRule>
    <cfRule type="containsText" dxfId="352" priority="10" operator="containsText" text="TELERISCALDAMENTO">
      <formula>NOT(ISERROR(SEARCH("TELERISCALDAMENTO",K1)))</formula>
    </cfRule>
    <cfRule type="containsText" dxfId="351" priority="11" operator="containsText" text="CENTRALIZZATO">
      <formula>NOT(ISERROR(SEARCH("CENTRALIZZATO",K1)))</formula>
    </cfRule>
  </conditionalFormatting>
  <conditionalFormatting sqref="J7:N7 E6:H7 A6:B7 J6:L6 N6">
    <cfRule type="containsText" dxfId="350" priority="1" operator="containsText" text="CALDAIE MURALI">
      <formula>NOT(ISERROR(SEARCH("CALDAIE MURALI",A6)))</formula>
    </cfRule>
    <cfRule type="containsText" dxfId="349" priority="2" operator="containsText" text="METANO">
      <formula>NOT(ISERROR(SEARCH("METANO",A6)))</formula>
    </cfRule>
    <cfRule type="containsText" dxfId="348" priority="3" operator="containsText" text="TELERISCALDAMENTO">
      <formula>NOT(ISERROR(SEARCH("TELERISCALDAMENTO",A6)))</formula>
    </cfRule>
    <cfRule type="containsText" dxfId="347" priority="4" operator="containsText" text="CENTRALIZZATO">
      <formula>NOT(ISERROR(SEARCH("CENTRALIZZATO",A6)))</formula>
    </cfRule>
  </conditionalFormatting>
  <conditionalFormatting sqref="C6:C7">
    <cfRule type="cellIs" dxfId="346" priority="5" operator="lessThanOrEqual">
      <formula>#REF!</formula>
    </cfRule>
    <cfRule type="cellIs" dxfId="345" priority="6" operator="greaterThan">
      <formula>#REF!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89CC130B-55B9-4965-870C-983490730F3A}">
            <xm:f>NOT(ISERROR(SEARCH(#REF!,O1)))</xm:f>
            <xm:f>#REF!</xm:f>
            <x14:dxf>
              <fill>
                <patternFill>
                  <bgColor theme="2" tint="-9.9948118533890809E-2"/>
                </patternFill>
              </fill>
            </x14:dxf>
          </x14:cfRule>
          <xm:sqref>O1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2C4FA-117B-4A81-9798-17B4079D6FB1}">
  <sheetPr>
    <tabColor theme="9" tint="-0.249977111117893"/>
  </sheetPr>
  <dimension ref="A1:P63"/>
  <sheetViews>
    <sheetView workbookViewId="0">
      <selection activeCell="H48" sqref="H48"/>
    </sheetView>
  </sheetViews>
  <sheetFormatPr defaultRowHeight="14.4" x14ac:dyDescent="0.3"/>
  <cols>
    <col min="2" max="2" width="69.88671875" bestFit="1" customWidth="1"/>
  </cols>
  <sheetData>
    <row r="1" spans="1:16" s="80" customFormat="1" ht="36" x14ac:dyDescent="0.25">
      <c r="B1" s="2" t="s">
        <v>3</v>
      </c>
      <c r="C1" s="74" t="s">
        <v>71</v>
      </c>
      <c r="D1" s="73" t="s">
        <v>72</v>
      </c>
      <c r="E1" s="48" t="s">
        <v>73</v>
      </c>
      <c r="F1" s="48" t="s">
        <v>74</v>
      </c>
      <c r="G1" s="46" t="s">
        <v>475</v>
      </c>
      <c r="H1" s="46" t="s">
        <v>75</v>
      </c>
      <c r="I1" s="47" t="s">
        <v>76</v>
      </c>
      <c r="J1" s="48" t="s">
        <v>77</v>
      </c>
      <c r="K1" s="49" t="s">
        <v>78</v>
      </c>
      <c r="L1" s="49" t="s">
        <v>79</v>
      </c>
      <c r="M1" s="45" t="s">
        <v>80</v>
      </c>
      <c r="N1" s="45" t="s">
        <v>81</v>
      </c>
      <c r="O1" s="45" t="s">
        <v>82</v>
      </c>
    </row>
    <row r="2" spans="1:16" s="80" customFormat="1" ht="13.8" x14ac:dyDescent="0.25">
      <c r="A2" s="59" t="s">
        <v>183</v>
      </c>
      <c r="B2" s="51" t="s">
        <v>184</v>
      </c>
      <c r="C2" s="75">
        <v>0.65531646301188895</v>
      </c>
      <c r="D2" s="52">
        <v>1908</v>
      </c>
      <c r="E2" s="53">
        <v>276</v>
      </c>
      <c r="F2" s="54">
        <v>1508</v>
      </c>
      <c r="G2" s="55">
        <v>3799.9375</v>
      </c>
      <c r="H2" s="55">
        <v>0.30423599389116629</v>
      </c>
      <c r="I2" s="55">
        <v>0.75</v>
      </c>
      <c r="J2" s="55">
        <v>754.0625</v>
      </c>
      <c r="K2" s="56">
        <v>518</v>
      </c>
      <c r="L2" s="55">
        <v>1.455719111969112</v>
      </c>
      <c r="M2" s="52" t="s">
        <v>85</v>
      </c>
      <c r="N2" s="52" t="s">
        <v>85</v>
      </c>
      <c r="O2" s="14">
        <v>70</v>
      </c>
      <c r="P2" s="71"/>
    </row>
    <row r="3" spans="1:16" s="80" customFormat="1" ht="13.8" x14ac:dyDescent="0.25">
      <c r="A3" s="63" t="s">
        <v>231</v>
      </c>
      <c r="B3" s="51" t="s">
        <v>232</v>
      </c>
      <c r="C3" s="75">
        <v>0.64952266483516485</v>
      </c>
      <c r="D3" s="52">
        <v>1908</v>
      </c>
      <c r="E3" s="53">
        <v>170</v>
      </c>
      <c r="F3" s="54">
        <v>789</v>
      </c>
      <c r="G3" s="55">
        <v>1926.7375</v>
      </c>
      <c r="H3" s="55">
        <v>0.36697776241502478</v>
      </c>
      <c r="I3" s="55">
        <v>0.75</v>
      </c>
      <c r="J3" s="55">
        <v>317.26249999999999</v>
      </c>
      <c r="K3" s="56">
        <v>217</v>
      </c>
      <c r="L3" s="55">
        <v>1.4620391705069125</v>
      </c>
      <c r="M3" s="52" t="s">
        <v>85</v>
      </c>
      <c r="N3" s="52" t="s">
        <v>85</v>
      </c>
      <c r="O3" s="14">
        <v>40</v>
      </c>
      <c r="P3" s="71"/>
    </row>
    <row r="4" spans="1:16" s="80" customFormat="1" ht="13.8" x14ac:dyDescent="0.25">
      <c r="A4" s="64" t="s">
        <v>245</v>
      </c>
      <c r="B4" s="51" t="s">
        <v>246</v>
      </c>
      <c r="C4" s="75">
        <v>0.30569332685904549</v>
      </c>
      <c r="D4" s="52">
        <v>1920</v>
      </c>
      <c r="E4" s="53">
        <v>85</v>
      </c>
      <c r="F4" s="54">
        <v>340</v>
      </c>
      <c r="G4" s="55">
        <v>987.5625</v>
      </c>
      <c r="H4" s="55">
        <v>0.40151515151515149</v>
      </c>
      <c r="I4" s="55">
        <v>0.55000000000000004</v>
      </c>
      <c r="J4" s="55">
        <v>134.4375</v>
      </c>
      <c r="K4" s="56">
        <v>96</v>
      </c>
      <c r="L4" s="55">
        <v>1.400390625</v>
      </c>
      <c r="M4" s="52" t="s">
        <v>85</v>
      </c>
      <c r="N4" s="52" t="s">
        <v>85</v>
      </c>
      <c r="O4" s="14">
        <v>20</v>
      </c>
      <c r="P4" s="71"/>
    </row>
    <row r="5" spans="1:16" s="80" customFormat="1" ht="13.8" x14ac:dyDescent="0.25">
      <c r="A5" s="64" t="s">
        <v>247</v>
      </c>
      <c r="B5" s="51" t="s">
        <v>248</v>
      </c>
      <c r="C5" s="75">
        <v>0.30569332685904549</v>
      </c>
      <c r="D5" s="52">
        <v>1920</v>
      </c>
      <c r="E5" s="53">
        <v>85</v>
      </c>
      <c r="F5" s="54">
        <v>340</v>
      </c>
      <c r="G5" s="55">
        <v>987.5625</v>
      </c>
      <c r="H5" s="55">
        <v>0.40151515151515149</v>
      </c>
      <c r="I5" s="55">
        <v>0.55000000000000004</v>
      </c>
      <c r="J5" s="55">
        <v>134.4375</v>
      </c>
      <c r="K5" s="56">
        <v>95</v>
      </c>
      <c r="L5" s="55">
        <v>1.4151315789473684</v>
      </c>
      <c r="M5" s="52" t="s">
        <v>85</v>
      </c>
      <c r="N5" s="52" t="s">
        <v>85</v>
      </c>
      <c r="O5" s="14">
        <v>20</v>
      </c>
      <c r="P5" s="71"/>
    </row>
    <row r="6" spans="1:16" s="80" customFormat="1" ht="13.8" x14ac:dyDescent="0.25">
      <c r="A6" s="64" t="s">
        <v>249</v>
      </c>
      <c r="B6" s="51" t="s">
        <v>250</v>
      </c>
      <c r="C6" s="75">
        <v>0.30569332685904549</v>
      </c>
      <c r="D6" s="52">
        <v>1920</v>
      </c>
      <c r="E6" s="53">
        <v>85</v>
      </c>
      <c r="F6" s="54">
        <v>340</v>
      </c>
      <c r="G6" s="55">
        <v>987.5625</v>
      </c>
      <c r="H6" s="55">
        <v>0.40151515151515149</v>
      </c>
      <c r="I6" s="55">
        <v>0.55000000000000004</v>
      </c>
      <c r="J6" s="55">
        <v>134.4375</v>
      </c>
      <c r="K6" s="56">
        <v>95</v>
      </c>
      <c r="L6" s="55">
        <v>1.4151315789473684</v>
      </c>
      <c r="M6" s="52" t="s">
        <v>85</v>
      </c>
      <c r="N6" s="52" t="s">
        <v>85</v>
      </c>
      <c r="O6" s="14">
        <v>20</v>
      </c>
      <c r="P6" s="71"/>
    </row>
    <row r="7" spans="1:16" s="80" customFormat="1" ht="13.8" x14ac:dyDescent="0.25">
      <c r="A7" s="64" t="s">
        <v>251</v>
      </c>
      <c r="B7" s="51" t="s">
        <v>252</v>
      </c>
      <c r="C7" s="75">
        <v>0.30569332685904549</v>
      </c>
      <c r="D7" s="52">
        <v>1920</v>
      </c>
      <c r="E7" s="53">
        <v>85</v>
      </c>
      <c r="F7" s="54">
        <v>340</v>
      </c>
      <c r="G7" s="55">
        <v>987.5625</v>
      </c>
      <c r="H7" s="55">
        <v>0.40151515151515149</v>
      </c>
      <c r="I7" s="55">
        <v>0.55000000000000004</v>
      </c>
      <c r="J7" s="55">
        <v>134.4375</v>
      </c>
      <c r="K7" s="56">
        <v>95</v>
      </c>
      <c r="L7" s="55">
        <v>1.4151315789473684</v>
      </c>
      <c r="M7" s="52" t="s">
        <v>85</v>
      </c>
      <c r="N7" s="52" t="s">
        <v>85</v>
      </c>
      <c r="O7" s="14">
        <v>19</v>
      </c>
      <c r="P7" s="71"/>
    </row>
    <row r="8" spans="1:16" s="80" customFormat="1" ht="13.8" x14ac:dyDescent="0.25">
      <c r="A8" s="64" t="s">
        <v>253</v>
      </c>
      <c r="B8" s="51" t="s">
        <v>254</v>
      </c>
      <c r="C8" s="75">
        <v>0.30569332685904549</v>
      </c>
      <c r="D8" s="52">
        <v>1920</v>
      </c>
      <c r="E8" s="53">
        <v>85</v>
      </c>
      <c r="F8" s="54">
        <v>340</v>
      </c>
      <c r="G8" s="55">
        <v>987.5625</v>
      </c>
      <c r="H8" s="55">
        <v>0.40151515151515149</v>
      </c>
      <c r="I8" s="55">
        <v>0.55000000000000004</v>
      </c>
      <c r="J8" s="55">
        <v>134.4375</v>
      </c>
      <c r="K8" s="56">
        <v>96</v>
      </c>
      <c r="L8" s="55">
        <v>1.400390625</v>
      </c>
      <c r="M8" s="52" t="s">
        <v>85</v>
      </c>
      <c r="N8" s="52" t="s">
        <v>85</v>
      </c>
      <c r="O8" s="14">
        <v>16</v>
      </c>
      <c r="P8" s="71"/>
    </row>
    <row r="9" spans="1:16" s="80" customFormat="1" ht="13.8" x14ac:dyDescent="0.25">
      <c r="A9" s="64" t="s">
        <v>255</v>
      </c>
      <c r="B9" s="51" t="s">
        <v>256</v>
      </c>
      <c r="C9" s="75">
        <v>0.30569332685904549</v>
      </c>
      <c r="D9" s="52">
        <v>1920</v>
      </c>
      <c r="E9" s="53">
        <v>85</v>
      </c>
      <c r="F9" s="54">
        <v>340</v>
      </c>
      <c r="G9" s="55">
        <v>987.5625</v>
      </c>
      <c r="H9" s="55">
        <v>0.40151515151515149</v>
      </c>
      <c r="I9" s="55">
        <v>0.55000000000000004</v>
      </c>
      <c r="J9" s="55">
        <v>134.4375</v>
      </c>
      <c r="K9" s="56">
        <v>95</v>
      </c>
      <c r="L9" s="55">
        <v>1.4151315789473684</v>
      </c>
      <c r="M9" s="52" t="s">
        <v>85</v>
      </c>
      <c r="N9" s="52" t="s">
        <v>85</v>
      </c>
      <c r="O9" s="14">
        <v>19</v>
      </c>
      <c r="P9" s="71"/>
    </row>
    <row r="10" spans="1:16" s="80" customFormat="1" ht="13.8" x14ac:dyDescent="0.25">
      <c r="A10" s="64" t="s">
        <v>257</v>
      </c>
      <c r="B10" s="51" t="s">
        <v>258</v>
      </c>
      <c r="C10" s="75">
        <v>0.30569332685904549</v>
      </c>
      <c r="D10" s="52">
        <v>1920</v>
      </c>
      <c r="E10" s="53">
        <v>85</v>
      </c>
      <c r="F10" s="54">
        <v>340</v>
      </c>
      <c r="G10" s="55">
        <v>987.5625</v>
      </c>
      <c r="H10" s="55">
        <v>0.40151515151515149</v>
      </c>
      <c r="I10" s="55">
        <v>0.55000000000000004</v>
      </c>
      <c r="J10" s="55">
        <v>134.4375</v>
      </c>
      <c r="K10" s="56">
        <v>92</v>
      </c>
      <c r="L10" s="55">
        <v>1.4612771739130435</v>
      </c>
      <c r="M10" s="52" t="s">
        <v>85</v>
      </c>
      <c r="N10" s="52" t="s">
        <v>85</v>
      </c>
      <c r="O10" s="14">
        <v>20</v>
      </c>
      <c r="P10" s="71"/>
    </row>
    <row r="11" spans="1:16" s="80" customFormat="1" ht="13.8" x14ac:dyDescent="0.25">
      <c r="A11" s="64" t="s">
        <v>259</v>
      </c>
      <c r="B11" s="51" t="s">
        <v>260</v>
      </c>
      <c r="C11" s="75">
        <v>0.30569332685904549</v>
      </c>
      <c r="D11" s="52">
        <v>1920</v>
      </c>
      <c r="E11" s="53">
        <v>85</v>
      </c>
      <c r="F11" s="54">
        <v>340</v>
      </c>
      <c r="G11" s="55">
        <v>987.5625</v>
      </c>
      <c r="H11" s="55">
        <v>0.40151515151515149</v>
      </c>
      <c r="I11" s="55">
        <v>0.55000000000000004</v>
      </c>
      <c r="J11" s="55">
        <v>134.4375</v>
      </c>
      <c r="K11" s="56">
        <v>91</v>
      </c>
      <c r="L11" s="55">
        <v>1.4773351648351649</v>
      </c>
      <c r="M11" s="52" t="s">
        <v>85</v>
      </c>
      <c r="N11" s="52" t="s">
        <v>85</v>
      </c>
      <c r="O11" s="14">
        <v>20</v>
      </c>
      <c r="P11" s="71"/>
    </row>
    <row r="12" spans="1:16" s="80" customFormat="1" ht="13.8" x14ac:dyDescent="0.25">
      <c r="A12" s="64" t="s">
        <v>261</v>
      </c>
      <c r="B12" s="51" t="s">
        <v>262</v>
      </c>
      <c r="C12" s="75">
        <v>0.30569332685904549</v>
      </c>
      <c r="D12" s="52">
        <v>1920</v>
      </c>
      <c r="E12" s="53">
        <v>85</v>
      </c>
      <c r="F12" s="54">
        <v>340</v>
      </c>
      <c r="G12" s="55">
        <v>987.5625</v>
      </c>
      <c r="H12" s="55">
        <v>0.40151515151515149</v>
      </c>
      <c r="I12" s="55">
        <v>0.55000000000000004</v>
      </c>
      <c r="J12" s="55">
        <v>134.4375</v>
      </c>
      <c r="K12" s="56">
        <v>93</v>
      </c>
      <c r="L12" s="55">
        <v>1.4455645161290323</v>
      </c>
      <c r="M12" s="52" t="s">
        <v>85</v>
      </c>
      <c r="N12" s="52" t="s">
        <v>85</v>
      </c>
      <c r="O12" s="14">
        <v>20</v>
      </c>
      <c r="P12" s="71"/>
    </row>
    <row r="13" spans="1:16" s="80" customFormat="1" ht="13.8" x14ac:dyDescent="0.25">
      <c r="A13" s="64" t="s">
        <v>263</v>
      </c>
      <c r="B13" s="51" t="s">
        <v>264</v>
      </c>
      <c r="C13" s="75">
        <v>0.30569332685904549</v>
      </c>
      <c r="D13" s="52">
        <v>1920</v>
      </c>
      <c r="E13" s="53">
        <v>85</v>
      </c>
      <c r="F13" s="54">
        <v>340</v>
      </c>
      <c r="G13" s="55">
        <v>987.5625</v>
      </c>
      <c r="H13" s="55">
        <v>0.40151515151515149</v>
      </c>
      <c r="I13" s="55">
        <v>0.55000000000000004</v>
      </c>
      <c r="J13" s="55">
        <v>134.4375</v>
      </c>
      <c r="K13" s="56">
        <v>95</v>
      </c>
      <c r="L13" s="55">
        <v>1.4151315789473684</v>
      </c>
      <c r="M13" s="52" t="s">
        <v>85</v>
      </c>
      <c r="N13" s="52" t="s">
        <v>85</v>
      </c>
      <c r="O13" s="14">
        <v>20</v>
      </c>
      <c r="P13" s="71"/>
    </row>
    <row r="14" spans="1:16" s="80" customFormat="1" ht="13.8" x14ac:dyDescent="0.25">
      <c r="A14" s="64" t="s">
        <v>265</v>
      </c>
      <c r="B14" s="51" t="s">
        <v>266</v>
      </c>
      <c r="C14" s="75">
        <v>0.30569332685904549</v>
      </c>
      <c r="D14" s="52">
        <v>1920</v>
      </c>
      <c r="E14" s="53">
        <v>85</v>
      </c>
      <c r="F14" s="54">
        <v>340</v>
      </c>
      <c r="G14" s="55">
        <v>987.5625</v>
      </c>
      <c r="H14" s="55">
        <v>0.40151515151515149</v>
      </c>
      <c r="I14" s="55">
        <v>0.55000000000000004</v>
      </c>
      <c r="J14" s="55">
        <v>134.4375</v>
      </c>
      <c r="K14" s="56">
        <v>93</v>
      </c>
      <c r="L14" s="55">
        <v>1.4455645161290323</v>
      </c>
      <c r="M14" s="52" t="s">
        <v>85</v>
      </c>
      <c r="N14" s="52" t="s">
        <v>85</v>
      </c>
      <c r="O14" s="14">
        <v>20</v>
      </c>
      <c r="P14" s="71"/>
    </row>
    <row r="15" spans="1:16" s="80" customFormat="1" ht="13.8" x14ac:dyDescent="0.25">
      <c r="A15" s="64" t="s">
        <v>267</v>
      </c>
      <c r="B15" s="51" t="s">
        <v>268</v>
      </c>
      <c r="C15" s="75">
        <v>0.30569332685904549</v>
      </c>
      <c r="D15" s="52">
        <v>1920</v>
      </c>
      <c r="E15" s="53">
        <v>85</v>
      </c>
      <c r="F15" s="54">
        <v>340</v>
      </c>
      <c r="G15" s="55">
        <v>987.5625</v>
      </c>
      <c r="H15" s="55">
        <v>0.40151515151515149</v>
      </c>
      <c r="I15" s="55">
        <v>0.55000000000000004</v>
      </c>
      <c r="J15" s="55">
        <v>134.4375</v>
      </c>
      <c r="K15" s="56">
        <v>92</v>
      </c>
      <c r="L15" s="55">
        <v>1.4612771739130435</v>
      </c>
      <c r="M15" s="52" t="s">
        <v>85</v>
      </c>
      <c r="N15" s="52" t="s">
        <v>85</v>
      </c>
      <c r="O15" s="14">
        <v>20</v>
      </c>
      <c r="P15" s="71"/>
    </row>
    <row r="16" spans="1:16" s="80" customFormat="1" ht="13.8" x14ac:dyDescent="0.25">
      <c r="A16" s="64" t="s">
        <v>269</v>
      </c>
      <c r="B16" s="51" t="s">
        <v>270</v>
      </c>
      <c r="C16" s="75">
        <v>0.30700679660529345</v>
      </c>
      <c r="D16" s="52">
        <v>1920</v>
      </c>
      <c r="E16" s="53">
        <v>98</v>
      </c>
      <c r="F16" s="54">
        <v>396</v>
      </c>
      <c r="G16" s="55">
        <v>1135.3625</v>
      </c>
      <c r="H16" s="55">
        <v>0.39898989898989901</v>
      </c>
      <c r="I16" s="55">
        <v>0.55000000000000004</v>
      </c>
      <c r="J16" s="55">
        <v>158.23750000000001</v>
      </c>
      <c r="K16" s="56">
        <v>109</v>
      </c>
      <c r="L16" s="55">
        <v>1.4517201834862385</v>
      </c>
      <c r="M16" s="52" t="s">
        <v>85</v>
      </c>
      <c r="N16" s="52" t="s">
        <v>85</v>
      </c>
      <c r="O16" s="14">
        <v>23</v>
      </c>
      <c r="P16" s="71"/>
    </row>
    <row r="17" spans="1:16" s="80" customFormat="1" ht="13.8" x14ac:dyDescent="0.25">
      <c r="A17" s="64" t="s">
        <v>271</v>
      </c>
      <c r="B17" s="51" t="s">
        <v>272</v>
      </c>
      <c r="C17" s="75">
        <v>0.30569332685904549</v>
      </c>
      <c r="D17" s="52">
        <v>1920</v>
      </c>
      <c r="E17" s="53">
        <v>85</v>
      </c>
      <c r="F17" s="54">
        <v>340</v>
      </c>
      <c r="G17" s="55">
        <v>987.5625</v>
      </c>
      <c r="H17" s="55">
        <v>0.40151515151515149</v>
      </c>
      <c r="I17" s="55">
        <v>0.55000000000000004</v>
      </c>
      <c r="J17" s="55">
        <v>134.4375</v>
      </c>
      <c r="K17" s="56">
        <v>90</v>
      </c>
      <c r="L17" s="55">
        <v>1.4937499999999999</v>
      </c>
      <c r="M17" s="52" t="s">
        <v>85</v>
      </c>
      <c r="N17" s="52" t="s">
        <v>85</v>
      </c>
      <c r="O17" s="14">
        <v>20</v>
      </c>
      <c r="P17" s="71"/>
    </row>
    <row r="18" spans="1:16" s="80" customFormat="1" ht="13.8" x14ac:dyDescent="0.25">
      <c r="A18" s="64" t="s">
        <v>273</v>
      </c>
      <c r="B18" s="51" t="s">
        <v>274</v>
      </c>
      <c r="C18" s="75">
        <v>0.30569332685904549</v>
      </c>
      <c r="D18" s="52">
        <v>1920</v>
      </c>
      <c r="E18" s="53">
        <v>85</v>
      </c>
      <c r="F18" s="54">
        <v>340</v>
      </c>
      <c r="G18" s="55">
        <v>987.5625</v>
      </c>
      <c r="H18" s="55">
        <v>0.40151515151515149</v>
      </c>
      <c r="I18" s="55">
        <v>0.55000000000000004</v>
      </c>
      <c r="J18" s="55">
        <v>134.4375</v>
      </c>
      <c r="K18" s="56">
        <v>90</v>
      </c>
      <c r="L18" s="55">
        <v>1.4937499999999999</v>
      </c>
      <c r="M18" s="52" t="s">
        <v>85</v>
      </c>
      <c r="N18" s="52" t="s">
        <v>85</v>
      </c>
      <c r="O18" s="14">
        <v>19</v>
      </c>
      <c r="P18" s="71"/>
    </row>
    <row r="19" spans="1:16" s="80" customFormat="1" ht="13.8" x14ac:dyDescent="0.25">
      <c r="A19" s="64" t="s">
        <v>275</v>
      </c>
      <c r="B19" s="51" t="s">
        <v>276</v>
      </c>
      <c r="C19" s="75">
        <v>0.30569332685904549</v>
      </c>
      <c r="D19" s="52">
        <v>1920</v>
      </c>
      <c r="E19" s="53">
        <v>85</v>
      </c>
      <c r="F19" s="54">
        <v>340</v>
      </c>
      <c r="G19" s="55">
        <v>987.5625</v>
      </c>
      <c r="H19" s="55">
        <v>0.40151515151515149</v>
      </c>
      <c r="I19" s="55">
        <v>0.55000000000000004</v>
      </c>
      <c r="J19" s="55">
        <v>134.4375</v>
      </c>
      <c r="K19" s="56">
        <v>97</v>
      </c>
      <c r="L19" s="55">
        <v>1.3859536082474226</v>
      </c>
      <c r="M19" s="52" t="s">
        <v>85</v>
      </c>
      <c r="N19" s="52" t="s">
        <v>85</v>
      </c>
      <c r="O19" s="14">
        <v>20</v>
      </c>
      <c r="P19" s="71"/>
    </row>
    <row r="20" spans="1:16" s="80" customFormat="1" ht="13.8" x14ac:dyDescent="0.25">
      <c r="A20" s="64" t="s">
        <v>277</v>
      </c>
      <c r="B20" s="51" t="s">
        <v>278</v>
      </c>
      <c r="C20" s="75">
        <v>0.30569332685904549</v>
      </c>
      <c r="D20" s="52">
        <v>1920</v>
      </c>
      <c r="E20" s="53">
        <v>85</v>
      </c>
      <c r="F20" s="54">
        <v>340</v>
      </c>
      <c r="G20" s="55">
        <v>987.5625</v>
      </c>
      <c r="H20" s="55">
        <v>0.40151515151515149</v>
      </c>
      <c r="I20" s="55">
        <v>0.55000000000000004</v>
      </c>
      <c r="J20" s="55">
        <v>134.4375</v>
      </c>
      <c r="K20" s="56">
        <v>94</v>
      </c>
      <c r="L20" s="55">
        <v>1.4301861702127661</v>
      </c>
      <c r="M20" s="52" t="s">
        <v>85</v>
      </c>
      <c r="N20" s="52" t="s">
        <v>85</v>
      </c>
      <c r="O20" s="14">
        <v>20</v>
      </c>
      <c r="P20" s="71"/>
    </row>
    <row r="21" spans="1:16" s="80" customFormat="1" ht="13.8" x14ac:dyDescent="0.25">
      <c r="A21" s="64" t="s">
        <v>279</v>
      </c>
      <c r="B21" s="51" t="s">
        <v>280</v>
      </c>
      <c r="C21" s="75">
        <v>0.60036274720550298</v>
      </c>
      <c r="D21" s="52">
        <v>1920</v>
      </c>
      <c r="E21" s="53">
        <v>115</v>
      </c>
      <c r="F21" s="60">
        <v>505</v>
      </c>
      <c r="G21" s="55">
        <v>1646.28125</v>
      </c>
      <c r="H21" s="55">
        <v>0.34893489348934892</v>
      </c>
      <c r="I21" s="55">
        <v>0.75</v>
      </c>
      <c r="J21" s="55">
        <v>251.21875</v>
      </c>
      <c r="K21" s="56">
        <v>174</v>
      </c>
      <c r="L21" s="55">
        <v>1.4437859195402298</v>
      </c>
      <c r="M21" s="52" t="s">
        <v>85</v>
      </c>
      <c r="N21" s="52" t="s">
        <v>85</v>
      </c>
      <c r="O21" s="14">
        <v>35</v>
      </c>
      <c r="P21" s="71"/>
    </row>
    <row r="22" spans="1:16" s="80" customFormat="1" ht="13.8" x14ac:dyDescent="0.25">
      <c r="A22" s="64" t="s">
        <v>281</v>
      </c>
      <c r="B22" s="51" t="s">
        <v>282</v>
      </c>
      <c r="C22" s="75">
        <v>0.30569332685904549</v>
      </c>
      <c r="D22" s="52">
        <v>1920</v>
      </c>
      <c r="E22" s="53">
        <v>85</v>
      </c>
      <c r="F22" s="54">
        <v>340</v>
      </c>
      <c r="G22" s="55">
        <v>987.5625</v>
      </c>
      <c r="H22" s="55">
        <v>0.40151515151515149</v>
      </c>
      <c r="I22" s="55">
        <v>0.55000000000000004</v>
      </c>
      <c r="J22" s="55">
        <v>134.4375</v>
      </c>
      <c r="K22" s="56">
        <v>93</v>
      </c>
      <c r="L22" s="55">
        <v>1.4455645161290323</v>
      </c>
      <c r="M22" s="52" t="s">
        <v>85</v>
      </c>
      <c r="N22" s="52" t="s">
        <v>85</v>
      </c>
      <c r="O22" s="14">
        <v>20</v>
      </c>
      <c r="P22" s="71"/>
    </row>
    <row r="23" spans="1:16" s="80" customFormat="1" ht="13.8" x14ac:dyDescent="0.25">
      <c r="A23" s="64" t="s">
        <v>283</v>
      </c>
      <c r="B23" s="51" t="s">
        <v>284</v>
      </c>
      <c r="C23" s="75">
        <v>0.30569332685904549</v>
      </c>
      <c r="D23" s="52">
        <v>1920</v>
      </c>
      <c r="E23" s="53">
        <v>85</v>
      </c>
      <c r="F23" s="54">
        <v>340</v>
      </c>
      <c r="G23" s="55">
        <v>987.5625</v>
      </c>
      <c r="H23" s="55">
        <v>0.40151515151515149</v>
      </c>
      <c r="I23" s="55">
        <v>0.55000000000000004</v>
      </c>
      <c r="J23" s="55">
        <v>134.4375</v>
      </c>
      <c r="K23" s="56">
        <v>93</v>
      </c>
      <c r="L23" s="55">
        <v>1.4455645161290323</v>
      </c>
      <c r="M23" s="52" t="s">
        <v>85</v>
      </c>
      <c r="N23" s="52" t="s">
        <v>85</v>
      </c>
      <c r="O23" s="14">
        <v>20</v>
      </c>
      <c r="P23" s="71"/>
    </row>
    <row r="24" spans="1:16" s="80" customFormat="1" ht="13.8" x14ac:dyDescent="0.25">
      <c r="A24" s="64" t="s">
        <v>285</v>
      </c>
      <c r="B24" s="51" t="s">
        <v>286</v>
      </c>
      <c r="C24" s="75">
        <v>0.30569332685904549</v>
      </c>
      <c r="D24" s="52">
        <v>1920</v>
      </c>
      <c r="E24" s="53">
        <v>85</v>
      </c>
      <c r="F24" s="54">
        <v>340</v>
      </c>
      <c r="G24" s="55">
        <v>987.5625</v>
      </c>
      <c r="H24" s="55">
        <v>0.40151515151515149</v>
      </c>
      <c r="I24" s="55">
        <v>0.55000000000000004</v>
      </c>
      <c r="J24" s="55">
        <v>134.4375</v>
      </c>
      <c r="K24" s="56">
        <v>92</v>
      </c>
      <c r="L24" s="55">
        <v>1.4612771739130435</v>
      </c>
      <c r="M24" s="52" t="s">
        <v>85</v>
      </c>
      <c r="N24" s="52" t="s">
        <v>85</v>
      </c>
      <c r="O24" s="14">
        <v>19</v>
      </c>
      <c r="P24" s="71"/>
    </row>
    <row r="25" spans="1:16" s="80" customFormat="1" ht="13.8" x14ac:dyDescent="0.25">
      <c r="A25" s="64" t="s">
        <v>287</v>
      </c>
      <c r="B25" s="51" t="s">
        <v>288</v>
      </c>
      <c r="C25" s="75">
        <v>0.30569332685904549</v>
      </c>
      <c r="D25" s="52">
        <v>1920</v>
      </c>
      <c r="E25" s="53">
        <v>85</v>
      </c>
      <c r="F25" s="54">
        <v>340</v>
      </c>
      <c r="G25" s="55">
        <v>987.5625</v>
      </c>
      <c r="H25" s="55">
        <v>0.40151515151515149</v>
      </c>
      <c r="I25" s="55">
        <v>0.55000000000000004</v>
      </c>
      <c r="J25" s="55">
        <v>134.4375</v>
      </c>
      <c r="K25" s="56">
        <v>92</v>
      </c>
      <c r="L25" s="55">
        <v>1.4612771739130435</v>
      </c>
      <c r="M25" s="52" t="s">
        <v>85</v>
      </c>
      <c r="N25" s="52" t="s">
        <v>85</v>
      </c>
      <c r="O25" s="14">
        <v>19</v>
      </c>
      <c r="P25" s="71"/>
    </row>
    <row r="26" spans="1:16" s="80" customFormat="1" ht="13.8" x14ac:dyDescent="0.25">
      <c r="A26" s="64">
        <v>142</v>
      </c>
      <c r="B26" s="51" t="s">
        <v>356</v>
      </c>
      <c r="C26" s="75">
        <v>0.48349489664747025</v>
      </c>
      <c r="D26" s="52">
        <v>1919</v>
      </c>
      <c r="E26" s="53">
        <v>76</v>
      </c>
      <c r="F26" s="54">
        <v>220</v>
      </c>
      <c r="G26" s="55">
        <v>1372.6124999999997</v>
      </c>
      <c r="H26" s="55">
        <v>0.44646464646464651</v>
      </c>
      <c r="I26" s="55">
        <v>0.55000000000000004</v>
      </c>
      <c r="J26" s="55">
        <v>132.1875</v>
      </c>
      <c r="K26" s="58">
        <v>110</v>
      </c>
      <c r="L26" s="55">
        <v>1.2017045454545454</v>
      </c>
      <c r="M26" s="52" t="s">
        <v>85</v>
      </c>
      <c r="N26" s="52" t="s">
        <v>85</v>
      </c>
      <c r="O26" s="14">
        <v>14</v>
      </c>
      <c r="P26" s="71"/>
    </row>
    <row r="27" spans="1:16" s="80" customFormat="1" ht="13.8" x14ac:dyDescent="0.25">
      <c r="A27" s="64">
        <v>143</v>
      </c>
      <c r="B27" s="51" t="s">
        <v>357</v>
      </c>
      <c r="C27" s="75">
        <v>0.42350169736488308</v>
      </c>
      <c r="D27" s="52">
        <v>1919</v>
      </c>
      <c r="E27" s="53">
        <v>62</v>
      </c>
      <c r="F27" s="54">
        <v>130</v>
      </c>
      <c r="G27" s="55">
        <v>1152.7874999999999</v>
      </c>
      <c r="H27" s="55">
        <v>0.577933177933178</v>
      </c>
      <c r="I27" s="55">
        <v>0.55000000000000004</v>
      </c>
      <c r="J27" s="55">
        <v>74.8125</v>
      </c>
      <c r="K27" s="58">
        <v>61</v>
      </c>
      <c r="L27" s="55">
        <v>1.2264344262295082</v>
      </c>
      <c r="M27" s="52" t="s">
        <v>85</v>
      </c>
      <c r="N27" s="52" t="s">
        <v>85</v>
      </c>
      <c r="O27" s="14">
        <v>11</v>
      </c>
      <c r="P27" s="71"/>
    </row>
    <row r="28" spans="1:16" s="80" customFormat="1" ht="13.8" x14ac:dyDescent="0.25">
      <c r="A28" s="64">
        <v>144</v>
      </c>
      <c r="B28" s="51" t="s">
        <v>358</v>
      </c>
      <c r="C28" s="75">
        <v>0.5038293230016313</v>
      </c>
      <c r="D28" s="52">
        <v>1919</v>
      </c>
      <c r="E28" s="53">
        <v>69</v>
      </c>
      <c r="F28" s="54">
        <v>197</v>
      </c>
      <c r="G28" s="55">
        <v>1040.90625</v>
      </c>
      <c r="H28" s="55">
        <v>0.4714659283187202</v>
      </c>
      <c r="I28" s="55">
        <v>0.55000000000000004</v>
      </c>
      <c r="J28" s="55">
        <v>97.59375</v>
      </c>
      <c r="K28" s="56">
        <v>80</v>
      </c>
      <c r="L28" s="55">
        <v>1.219921875</v>
      </c>
      <c r="M28" s="52" t="s">
        <v>85</v>
      </c>
      <c r="N28" s="52" t="s">
        <v>85</v>
      </c>
      <c r="O28" s="14">
        <v>18</v>
      </c>
      <c r="P28" s="71"/>
    </row>
    <row r="29" spans="1:16" s="80" customFormat="1" ht="13.8" x14ac:dyDescent="0.25">
      <c r="A29" s="64">
        <v>145</v>
      </c>
      <c r="B29" s="51" t="s">
        <v>359</v>
      </c>
      <c r="C29" s="75">
        <v>0.49388932557773935</v>
      </c>
      <c r="D29" s="52">
        <v>1919</v>
      </c>
      <c r="E29" s="53">
        <v>49</v>
      </c>
      <c r="F29" s="54">
        <v>151</v>
      </c>
      <c r="G29" s="55">
        <v>881.99999999999977</v>
      </c>
      <c r="H29" s="55">
        <v>0.42551341226837913</v>
      </c>
      <c r="I29" s="55">
        <v>0.55000000000000004</v>
      </c>
      <c r="J29" s="55">
        <v>88.199999999999989</v>
      </c>
      <c r="K29" s="58">
        <v>73</v>
      </c>
      <c r="L29" s="55">
        <v>1.2082191780821916</v>
      </c>
      <c r="M29" s="52" t="s">
        <v>85</v>
      </c>
      <c r="N29" s="52" t="s">
        <v>85</v>
      </c>
      <c r="O29" s="14">
        <v>6</v>
      </c>
      <c r="P29" s="71"/>
    </row>
    <row r="30" spans="1:16" s="80" customFormat="1" ht="13.8" x14ac:dyDescent="0.25">
      <c r="A30" s="64">
        <v>147</v>
      </c>
      <c r="B30" s="51" t="s">
        <v>361</v>
      </c>
      <c r="C30" s="75">
        <v>0.5462986774430566</v>
      </c>
      <c r="D30" s="52">
        <v>1918</v>
      </c>
      <c r="E30" s="53">
        <v>58</v>
      </c>
      <c r="F30" s="54">
        <v>202</v>
      </c>
      <c r="G30" s="55">
        <v>856.75</v>
      </c>
      <c r="H30" s="55">
        <v>0.40834083408340832</v>
      </c>
      <c r="I30" s="55">
        <v>0.55000000000000004</v>
      </c>
      <c r="J30" s="55">
        <v>100.25</v>
      </c>
      <c r="K30" s="58">
        <v>66</v>
      </c>
      <c r="L30" s="55">
        <v>1.518939393939394</v>
      </c>
      <c r="M30" s="52" t="s">
        <v>85</v>
      </c>
      <c r="N30" s="52" t="s">
        <v>85</v>
      </c>
      <c r="O30" s="14">
        <v>18</v>
      </c>
      <c r="P30" s="71"/>
    </row>
    <row r="31" spans="1:16" s="80" customFormat="1" ht="13.8" x14ac:dyDescent="0.25">
      <c r="A31" s="64">
        <v>148</v>
      </c>
      <c r="B31" s="51" t="s">
        <v>362</v>
      </c>
      <c r="C31" s="75">
        <v>0.49194737691314777</v>
      </c>
      <c r="D31" s="52">
        <v>1918</v>
      </c>
      <c r="E31" s="53">
        <v>84</v>
      </c>
      <c r="F31" s="54">
        <v>253</v>
      </c>
      <c r="G31" s="55">
        <v>1509.9749999999999</v>
      </c>
      <c r="H31" s="55">
        <v>0.43302591128678086</v>
      </c>
      <c r="I31" s="55">
        <v>0.55000000000000004</v>
      </c>
      <c r="J31" s="55">
        <v>153.22500000000002</v>
      </c>
      <c r="K31" s="56">
        <v>106</v>
      </c>
      <c r="L31" s="55">
        <v>1.4455188679245285</v>
      </c>
      <c r="M31" s="52" t="s">
        <v>85</v>
      </c>
      <c r="N31" s="52" t="s">
        <v>85</v>
      </c>
      <c r="O31" s="14">
        <v>10</v>
      </c>
      <c r="P31" s="71"/>
    </row>
    <row r="32" spans="1:16" s="80" customFormat="1" ht="13.8" x14ac:dyDescent="0.25">
      <c r="A32" s="64">
        <v>149</v>
      </c>
      <c r="B32" s="51" t="s">
        <v>363</v>
      </c>
      <c r="C32" s="75">
        <v>0.44424268217191382</v>
      </c>
      <c r="D32" s="52">
        <v>1918</v>
      </c>
      <c r="E32" s="53">
        <v>46</v>
      </c>
      <c r="F32" s="54">
        <v>110</v>
      </c>
      <c r="G32" s="55">
        <v>848.73749999999984</v>
      </c>
      <c r="H32" s="55">
        <v>0.5191919191919192</v>
      </c>
      <c r="I32" s="55">
        <v>0.55000000000000004</v>
      </c>
      <c r="J32" s="55">
        <v>62.0625</v>
      </c>
      <c r="K32" s="56">
        <v>45</v>
      </c>
      <c r="L32" s="55">
        <v>1.3791666666666667</v>
      </c>
      <c r="M32" s="52" t="s">
        <v>85</v>
      </c>
      <c r="N32" s="52" t="s">
        <v>85</v>
      </c>
      <c r="O32" s="14">
        <v>13</v>
      </c>
      <c r="P32" s="71"/>
    </row>
    <row r="33" spans="1:16" s="80" customFormat="1" ht="13.8" x14ac:dyDescent="0.25">
      <c r="A33" s="61">
        <v>152</v>
      </c>
      <c r="B33" s="51" t="s">
        <v>366</v>
      </c>
      <c r="C33" s="75">
        <v>0.65688574909971442</v>
      </c>
      <c r="D33" s="52">
        <v>1919</v>
      </c>
      <c r="E33" s="53">
        <v>141</v>
      </c>
      <c r="F33" s="54">
        <v>680</v>
      </c>
      <c r="G33" s="55">
        <v>1594.2624999999998</v>
      </c>
      <c r="H33" s="55">
        <v>0.35886809269162206</v>
      </c>
      <c r="I33" s="55">
        <v>0.75</v>
      </c>
      <c r="J33" s="55">
        <v>266.9375</v>
      </c>
      <c r="K33" s="56">
        <v>145</v>
      </c>
      <c r="L33" s="55">
        <v>1.840948275862069</v>
      </c>
      <c r="M33" s="52" t="s">
        <v>85</v>
      </c>
      <c r="N33" s="52" t="s">
        <v>85</v>
      </c>
      <c r="O33" s="14">
        <v>33</v>
      </c>
      <c r="P33" s="71"/>
    </row>
    <row r="34" spans="1:16" s="80" customFormat="1" ht="13.8" x14ac:dyDescent="0.25">
      <c r="A34" s="61">
        <v>157</v>
      </c>
      <c r="B34" s="51" t="s">
        <v>372</v>
      </c>
      <c r="C34" s="75">
        <v>0.62455856219709205</v>
      </c>
      <c r="D34" s="52">
        <v>1909</v>
      </c>
      <c r="E34" s="53">
        <v>118</v>
      </c>
      <c r="F34" s="54">
        <v>574</v>
      </c>
      <c r="G34" s="55">
        <v>1664.125</v>
      </c>
      <c r="H34" s="55">
        <v>0.32678703410410725</v>
      </c>
      <c r="I34" s="55">
        <v>0.75</v>
      </c>
      <c r="J34" s="55">
        <v>282.875</v>
      </c>
      <c r="K34" s="56">
        <v>197</v>
      </c>
      <c r="L34" s="55">
        <v>1.4359137055837563</v>
      </c>
      <c r="M34" s="52" t="s">
        <v>85</v>
      </c>
      <c r="N34" s="52" t="s">
        <v>85</v>
      </c>
      <c r="O34" s="14">
        <v>40</v>
      </c>
      <c r="P34" s="71"/>
    </row>
    <row r="35" spans="1:16" s="80" customFormat="1" ht="13.8" x14ac:dyDescent="0.25">
      <c r="A35" s="61">
        <v>158</v>
      </c>
      <c r="B35" s="51" t="s">
        <v>373</v>
      </c>
      <c r="C35" s="75">
        <v>0.62455856219709205</v>
      </c>
      <c r="D35" s="52">
        <v>1909</v>
      </c>
      <c r="E35" s="53">
        <v>118</v>
      </c>
      <c r="F35" s="54">
        <v>574</v>
      </c>
      <c r="G35" s="55">
        <v>1664.125</v>
      </c>
      <c r="H35" s="55">
        <v>0.32678703410410725</v>
      </c>
      <c r="I35" s="55">
        <v>0.75</v>
      </c>
      <c r="J35" s="55">
        <v>282.875</v>
      </c>
      <c r="K35" s="56">
        <v>200</v>
      </c>
      <c r="L35" s="55">
        <v>1.4143749999999999</v>
      </c>
      <c r="M35" s="52" t="s">
        <v>85</v>
      </c>
      <c r="N35" s="52" t="s">
        <v>85</v>
      </c>
      <c r="O35" s="14">
        <v>35</v>
      </c>
      <c r="P35" s="71"/>
    </row>
    <row r="36" spans="1:16" s="80" customFormat="1" ht="13.8" x14ac:dyDescent="0.25">
      <c r="A36" s="61">
        <v>159</v>
      </c>
      <c r="B36" s="51" t="s">
        <v>374</v>
      </c>
      <c r="C36" s="75">
        <v>0.62395546796377055</v>
      </c>
      <c r="D36" s="52">
        <v>1909</v>
      </c>
      <c r="E36" s="53">
        <v>114</v>
      </c>
      <c r="F36" s="54">
        <v>550</v>
      </c>
      <c r="G36" s="55">
        <v>1605.875</v>
      </c>
      <c r="H36" s="55">
        <v>0.32848484848484849</v>
      </c>
      <c r="I36" s="55">
        <v>0.75</v>
      </c>
      <c r="J36" s="55">
        <v>275.125</v>
      </c>
      <c r="K36" s="56">
        <v>190</v>
      </c>
      <c r="L36" s="55">
        <v>1.4480263157894737</v>
      </c>
      <c r="M36" s="52" t="s">
        <v>85</v>
      </c>
      <c r="N36" s="52" t="s">
        <v>85</v>
      </c>
      <c r="O36" s="14">
        <v>34</v>
      </c>
      <c r="P36" s="71"/>
    </row>
    <row r="37" spans="1:16" s="80" customFormat="1" ht="13.8" x14ac:dyDescent="0.25">
      <c r="A37" s="65">
        <v>170</v>
      </c>
      <c r="B37" s="51" t="s">
        <v>385</v>
      </c>
      <c r="C37" s="75">
        <v>0.68887767061996918</v>
      </c>
      <c r="D37" s="52">
        <v>1908</v>
      </c>
      <c r="E37" s="53">
        <v>583</v>
      </c>
      <c r="F37" s="54">
        <v>3159</v>
      </c>
      <c r="G37" s="55">
        <v>6415.0874999999996</v>
      </c>
      <c r="H37" s="55">
        <v>0.33606722495611385</v>
      </c>
      <c r="I37" s="55">
        <v>0.75</v>
      </c>
      <c r="J37" s="55">
        <v>1280.5125</v>
      </c>
      <c r="K37" s="56">
        <v>815</v>
      </c>
      <c r="L37" s="55">
        <v>1.5711809815950921</v>
      </c>
      <c r="M37" s="52" t="s">
        <v>85</v>
      </c>
      <c r="N37" s="52" t="s">
        <v>85</v>
      </c>
      <c r="O37" s="14">
        <v>145</v>
      </c>
      <c r="P37" s="71"/>
    </row>
    <row r="38" spans="1:16" s="80" customFormat="1" ht="13.8" x14ac:dyDescent="0.25">
      <c r="A38" s="61">
        <v>195</v>
      </c>
      <c r="B38" s="51" t="s">
        <v>410</v>
      </c>
      <c r="C38" s="75">
        <v>0.30498738418266047</v>
      </c>
      <c r="D38" s="52">
        <v>1919</v>
      </c>
      <c r="E38" s="53">
        <v>86</v>
      </c>
      <c r="F38" s="54">
        <v>339</v>
      </c>
      <c r="G38" s="55">
        <v>1001.1875</v>
      </c>
      <c r="H38" s="55">
        <v>0.4052024671493698</v>
      </c>
      <c r="I38" s="55">
        <v>0.55000000000000004</v>
      </c>
      <c r="J38" s="55">
        <v>134.01249999999999</v>
      </c>
      <c r="K38" s="56">
        <v>70</v>
      </c>
      <c r="L38" s="55">
        <v>1.9144642857142855</v>
      </c>
      <c r="M38" s="52" t="s">
        <v>85</v>
      </c>
      <c r="N38" s="52" t="s">
        <v>85</v>
      </c>
      <c r="O38" s="14">
        <v>20</v>
      </c>
      <c r="P38" s="71"/>
    </row>
    <row r="39" spans="1:16" s="80" customFormat="1" ht="13.8" x14ac:dyDescent="0.25">
      <c r="A39" s="61">
        <v>198</v>
      </c>
      <c r="B39" s="51" t="s">
        <v>413</v>
      </c>
      <c r="C39" s="75">
        <v>0.6227721088435374</v>
      </c>
      <c r="D39" s="52">
        <v>1909</v>
      </c>
      <c r="E39" s="53">
        <v>118</v>
      </c>
      <c r="F39" s="54">
        <v>570</v>
      </c>
      <c r="G39" s="55">
        <v>1666.25</v>
      </c>
      <c r="H39" s="55">
        <v>0.32822966507177032</v>
      </c>
      <c r="I39" s="55">
        <v>0.75</v>
      </c>
      <c r="J39" s="55">
        <v>280.75</v>
      </c>
      <c r="K39" s="56">
        <v>240</v>
      </c>
      <c r="L39" s="55">
        <v>1.1697916666666666</v>
      </c>
      <c r="M39" s="52" t="s">
        <v>85</v>
      </c>
      <c r="N39" s="52" t="s">
        <v>85</v>
      </c>
      <c r="O39" s="14">
        <v>35</v>
      </c>
      <c r="P39" s="71"/>
    </row>
    <row r="40" spans="1:16" s="80" customFormat="1" ht="13.8" x14ac:dyDescent="0.25">
      <c r="A40" s="61">
        <v>199</v>
      </c>
      <c r="B40" s="51" t="s">
        <v>414</v>
      </c>
      <c r="C40" s="75">
        <v>0.6227721088435374</v>
      </c>
      <c r="D40" s="52">
        <v>1909</v>
      </c>
      <c r="E40" s="53">
        <v>118</v>
      </c>
      <c r="F40" s="54">
        <v>570</v>
      </c>
      <c r="G40" s="55">
        <v>1666.25</v>
      </c>
      <c r="H40" s="55">
        <v>0.32822966507177032</v>
      </c>
      <c r="I40" s="55">
        <v>0.75</v>
      </c>
      <c r="J40" s="55">
        <v>280.75</v>
      </c>
      <c r="K40" s="56">
        <v>199</v>
      </c>
      <c r="L40" s="55">
        <v>1.4108040201005025</v>
      </c>
      <c r="M40" s="52" t="s">
        <v>85</v>
      </c>
      <c r="N40" s="52" t="s">
        <v>85</v>
      </c>
      <c r="O40" s="14">
        <v>36</v>
      </c>
      <c r="P40" s="71"/>
    </row>
    <row r="41" spans="1:16" s="80" customFormat="1" ht="13.8" x14ac:dyDescent="0.25">
      <c r="A41" s="61">
        <v>200</v>
      </c>
      <c r="B41" s="51" t="s">
        <v>415</v>
      </c>
      <c r="C41" s="75">
        <v>0.6227721088435374</v>
      </c>
      <c r="D41" s="52">
        <v>1909</v>
      </c>
      <c r="E41" s="53">
        <v>118</v>
      </c>
      <c r="F41" s="54">
        <v>570</v>
      </c>
      <c r="G41" s="55">
        <v>1666.25</v>
      </c>
      <c r="H41" s="55">
        <v>0.32822966507177032</v>
      </c>
      <c r="I41" s="55">
        <v>0.75</v>
      </c>
      <c r="J41" s="55">
        <v>280.75</v>
      </c>
      <c r="K41" s="56">
        <v>194</v>
      </c>
      <c r="L41" s="55">
        <v>1.4471649484536082</v>
      </c>
      <c r="M41" s="52" t="s">
        <v>85</v>
      </c>
      <c r="N41" s="52" t="s">
        <v>85</v>
      </c>
      <c r="O41" s="14">
        <v>35</v>
      </c>
      <c r="P41" s="71"/>
    </row>
    <row r="42" spans="1:16" s="80" customFormat="1" ht="13.8" x14ac:dyDescent="0.25">
      <c r="A42" s="64">
        <v>225</v>
      </c>
      <c r="B42" s="51" t="s">
        <v>441</v>
      </c>
      <c r="C42" s="75">
        <v>0.2968924141221374</v>
      </c>
      <c r="D42" s="52">
        <v>1918</v>
      </c>
      <c r="E42" s="53">
        <v>80</v>
      </c>
      <c r="F42" s="54">
        <v>258</v>
      </c>
      <c r="G42" s="55">
        <v>952.41250000000002</v>
      </c>
      <c r="H42" s="55">
        <v>0.4615926708949965</v>
      </c>
      <c r="I42" s="55">
        <v>0.55000000000000004</v>
      </c>
      <c r="J42" s="55">
        <v>103.58750000000001</v>
      </c>
      <c r="K42" s="58">
        <v>38</v>
      </c>
      <c r="L42" s="55">
        <v>2.7259868421052631</v>
      </c>
      <c r="M42" s="52" t="s">
        <v>85</v>
      </c>
      <c r="N42" s="52" t="s">
        <v>85</v>
      </c>
      <c r="O42" s="14">
        <v>16</v>
      </c>
      <c r="P42" s="71"/>
    </row>
    <row r="43" spans="1:16" s="80" customFormat="1" ht="13.8" x14ac:dyDescent="0.25">
      <c r="A43" s="50">
        <v>239</v>
      </c>
      <c r="B43" s="51" t="s">
        <v>454</v>
      </c>
      <c r="C43" s="75">
        <v>0.63790128149435266</v>
      </c>
      <c r="D43" s="52">
        <v>1909</v>
      </c>
      <c r="E43" s="53">
        <v>325</v>
      </c>
      <c r="F43" s="54">
        <v>1635</v>
      </c>
      <c r="G43" s="55">
        <v>4515.96875</v>
      </c>
      <c r="H43" s="55">
        <v>0.31998887962190714</v>
      </c>
      <c r="I43" s="55">
        <v>0.75</v>
      </c>
      <c r="J43" s="55">
        <v>846.53125</v>
      </c>
      <c r="K43" s="56">
        <v>535</v>
      </c>
      <c r="L43" s="55">
        <v>1.5823014018691588</v>
      </c>
      <c r="M43" s="52" t="s">
        <v>85</v>
      </c>
      <c r="N43" s="52" t="s">
        <v>85</v>
      </c>
      <c r="O43" s="14">
        <v>97</v>
      </c>
      <c r="P43" s="71"/>
    </row>
    <row r="44" spans="1:16" s="80" customFormat="1" ht="13.8" x14ac:dyDescent="0.25">
      <c r="A44" s="50">
        <v>240</v>
      </c>
      <c r="B44" s="51" t="s">
        <v>455</v>
      </c>
      <c r="C44" s="75">
        <v>0.63972578192875773</v>
      </c>
      <c r="D44" s="52">
        <v>1909</v>
      </c>
      <c r="E44" s="53">
        <v>325</v>
      </c>
      <c r="F44" s="54">
        <v>1635</v>
      </c>
      <c r="G44" s="55">
        <v>4500.96875</v>
      </c>
      <c r="H44" s="55">
        <v>0.31998887962190714</v>
      </c>
      <c r="I44" s="55">
        <v>0.75</v>
      </c>
      <c r="J44" s="55">
        <v>861.53125</v>
      </c>
      <c r="K44" s="56">
        <v>443</v>
      </c>
      <c r="L44" s="55">
        <v>1.9447658013544018</v>
      </c>
      <c r="M44" s="52" t="s">
        <v>85</v>
      </c>
      <c r="N44" s="52" t="s">
        <v>85</v>
      </c>
      <c r="O44" s="14">
        <v>95</v>
      </c>
      <c r="P44" s="71"/>
    </row>
    <row r="45" spans="1:16" s="80" customFormat="1" ht="13.8" x14ac:dyDescent="0.25">
      <c r="A45" s="65">
        <v>252</v>
      </c>
      <c r="B45" s="51" t="s">
        <v>467</v>
      </c>
      <c r="C45" s="75">
        <v>0.62439139660493825</v>
      </c>
      <c r="D45" s="52">
        <v>1919</v>
      </c>
      <c r="E45" s="53">
        <v>90</v>
      </c>
      <c r="F45" s="54">
        <v>378</v>
      </c>
      <c r="G45" s="55">
        <v>1037.4124999999999</v>
      </c>
      <c r="H45" s="55">
        <v>0.38961038961038963</v>
      </c>
      <c r="I45" s="55">
        <v>0.75</v>
      </c>
      <c r="J45" s="55">
        <v>150.58750000000001</v>
      </c>
      <c r="K45" s="56">
        <v>104</v>
      </c>
      <c r="L45" s="55">
        <v>1.4479567307692309</v>
      </c>
      <c r="M45" s="52" t="s">
        <v>85</v>
      </c>
      <c r="N45" s="52" t="s">
        <v>85</v>
      </c>
      <c r="O45" s="14">
        <v>16</v>
      </c>
      <c r="P45" s="71"/>
    </row>
    <row r="46" spans="1:16" s="84" customFormat="1" ht="13.8" x14ac:dyDescent="0.3">
      <c r="C46" s="85" t="s">
        <v>473</v>
      </c>
      <c r="F46" s="86" t="s">
        <v>472</v>
      </c>
      <c r="G46" s="87" t="s">
        <v>472</v>
      </c>
      <c r="I46" s="86" t="s">
        <v>473</v>
      </c>
      <c r="J46" s="86" t="s">
        <v>472</v>
      </c>
      <c r="O46" s="86" t="s">
        <v>472</v>
      </c>
    </row>
    <row r="47" spans="1:16" s="84" customFormat="1" ht="13.8" x14ac:dyDescent="0.3">
      <c r="C47" s="88">
        <f>AVERAGE(C2:C45)</f>
        <v>0.43873476783862964</v>
      </c>
      <c r="F47" s="89">
        <f>SUM(F2:F45)</f>
        <v>22753</v>
      </c>
      <c r="G47" s="89">
        <f>SUM(G2:G45)</f>
        <v>65873.512499999997</v>
      </c>
      <c r="I47" s="88">
        <f>AVERAGE(I2:I45)</f>
        <v>0.61363636363636387</v>
      </c>
      <c r="J47" s="89">
        <f>SUM(J2:J45)</f>
        <v>10204.6875</v>
      </c>
      <c r="O47" s="89">
        <f>SUM(O2:O45)</f>
        <v>1286</v>
      </c>
    </row>
    <row r="48" spans="1:16" x14ac:dyDescent="0.3">
      <c r="G48" s="218"/>
    </row>
    <row r="49" spans="1:16" s="80" customFormat="1" ht="13.8" x14ac:dyDescent="0.25">
      <c r="A49" s="61" t="s">
        <v>293</v>
      </c>
      <c r="B49" s="51" t="s">
        <v>294</v>
      </c>
      <c r="C49" s="75">
        <v>0.52508438529088919</v>
      </c>
      <c r="D49" s="52">
        <v>1919</v>
      </c>
      <c r="E49" s="53">
        <v>61</v>
      </c>
      <c r="F49" s="60">
        <v>216</v>
      </c>
      <c r="G49" s="55">
        <v>1078.1624999999997</v>
      </c>
      <c r="H49" s="55">
        <v>0.38341750841750843</v>
      </c>
      <c r="I49" s="55">
        <v>0.75</v>
      </c>
      <c r="J49" s="55">
        <v>129.63749999999999</v>
      </c>
      <c r="K49" s="56">
        <v>107</v>
      </c>
      <c r="L49" s="55">
        <v>1.2115654205607476</v>
      </c>
      <c r="M49" s="52" t="s">
        <v>85</v>
      </c>
      <c r="N49" s="52" t="s">
        <v>150</v>
      </c>
      <c r="O49" s="14">
        <v>17</v>
      </c>
      <c r="P49" s="71"/>
    </row>
    <row r="50" spans="1:16" s="80" customFormat="1" ht="13.8" x14ac:dyDescent="0.25">
      <c r="A50" s="63" t="s">
        <v>305</v>
      </c>
      <c r="B50" s="51" t="s">
        <v>306</v>
      </c>
      <c r="C50" s="75">
        <v>0.58593572830353247</v>
      </c>
      <c r="D50" s="52">
        <v>1910</v>
      </c>
      <c r="E50" s="53">
        <v>139</v>
      </c>
      <c r="F50" s="54">
        <v>573</v>
      </c>
      <c r="G50" s="55">
        <v>2006.15625</v>
      </c>
      <c r="H50" s="55">
        <v>0.36379501824528004</v>
      </c>
      <c r="I50" s="55">
        <v>0.75</v>
      </c>
      <c r="J50" s="55">
        <v>287.34375</v>
      </c>
      <c r="K50" s="56">
        <v>197</v>
      </c>
      <c r="L50" s="55">
        <v>1.4585977157360406</v>
      </c>
      <c r="M50" s="52" t="s">
        <v>85</v>
      </c>
      <c r="N50" s="52" t="s">
        <v>150</v>
      </c>
      <c r="O50" s="14">
        <v>40</v>
      </c>
      <c r="P50" s="71"/>
    </row>
    <row r="51" spans="1:16" s="80" customFormat="1" ht="13.8" x14ac:dyDescent="0.25">
      <c r="A51" s="63" t="s">
        <v>307</v>
      </c>
      <c r="B51" s="51" t="s">
        <v>308</v>
      </c>
      <c r="C51" s="75">
        <v>0.58593572830353247</v>
      </c>
      <c r="D51" s="52">
        <v>1910</v>
      </c>
      <c r="E51" s="53">
        <v>139</v>
      </c>
      <c r="F51" s="54">
        <v>573</v>
      </c>
      <c r="G51" s="55">
        <v>2006.15625</v>
      </c>
      <c r="H51" s="55">
        <v>0.36379501824528004</v>
      </c>
      <c r="I51" s="55">
        <v>0.75</v>
      </c>
      <c r="J51" s="55">
        <v>287.34375</v>
      </c>
      <c r="K51" s="56">
        <v>237</v>
      </c>
      <c r="L51" s="55">
        <v>1.2124208860759493</v>
      </c>
      <c r="M51" s="52" t="s">
        <v>85</v>
      </c>
      <c r="N51" s="52" t="s">
        <v>150</v>
      </c>
      <c r="O51" s="14">
        <v>40</v>
      </c>
      <c r="P51" s="71"/>
    </row>
    <row r="52" spans="1:16" s="80" customFormat="1" ht="13.8" x14ac:dyDescent="0.25">
      <c r="A52" s="63" t="s">
        <v>309</v>
      </c>
      <c r="B52" s="51" t="s">
        <v>310</v>
      </c>
      <c r="C52" s="75">
        <v>0.58643504997800489</v>
      </c>
      <c r="D52" s="52">
        <v>1910</v>
      </c>
      <c r="E52" s="53">
        <v>282</v>
      </c>
      <c r="F52" s="54">
        <v>1300</v>
      </c>
      <c r="G52" s="55">
        <v>4798.9124999999995</v>
      </c>
      <c r="H52" s="55">
        <v>0.31793317793317794</v>
      </c>
      <c r="I52" s="55">
        <v>0.75</v>
      </c>
      <c r="J52" s="55">
        <v>784.6875</v>
      </c>
      <c r="K52" s="56">
        <v>625</v>
      </c>
      <c r="L52" s="55">
        <v>1.2555000000000001</v>
      </c>
      <c r="M52" s="52" t="s">
        <v>85</v>
      </c>
      <c r="N52" s="52" t="s">
        <v>150</v>
      </c>
      <c r="O52" s="14">
        <v>109</v>
      </c>
      <c r="P52" s="71"/>
    </row>
    <row r="53" spans="1:16" s="80" customFormat="1" ht="13.8" x14ac:dyDescent="0.25">
      <c r="A53" s="63" t="s">
        <v>311</v>
      </c>
      <c r="B53" s="51" t="s">
        <v>312</v>
      </c>
      <c r="C53" s="75">
        <v>0.58593572830353247</v>
      </c>
      <c r="D53" s="52">
        <v>1910</v>
      </c>
      <c r="E53" s="53">
        <v>139</v>
      </c>
      <c r="F53" s="54">
        <v>573</v>
      </c>
      <c r="G53" s="55">
        <v>2006.15625</v>
      </c>
      <c r="H53" s="55">
        <v>0.36379501824528004</v>
      </c>
      <c r="I53" s="55">
        <v>0.75</v>
      </c>
      <c r="J53" s="55">
        <v>287.34375</v>
      </c>
      <c r="K53" s="56">
        <v>197</v>
      </c>
      <c r="L53" s="55">
        <v>1.4585977157360406</v>
      </c>
      <c r="M53" s="52" t="s">
        <v>85</v>
      </c>
      <c r="N53" s="52" t="s">
        <v>150</v>
      </c>
      <c r="O53" s="14">
        <v>40</v>
      </c>
      <c r="P53" s="71"/>
    </row>
    <row r="54" spans="1:16" s="80" customFormat="1" ht="13.8" x14ac:dyDescent="0.25">
      <c r="A54" s="63" t="s">
        <v>313</v>
      </c>
      <c r="B54" s="51" t="s">
        <v>314</v>
      </c>
      <c r="C54" s="75">
        <v>0.613184975182683</v>
      </c>
      <c r="D54" s="52">
        <v>1910</v>
      </c>
      <c r="E54" s="53">
        <v>282</v>
      </c>
      <c r="F54" s="54">
        <v>1300</v>
      </c>
      <c r="G54" s="55">
        <v>3999.4375</v>
      </c>
      <c r="H54" s="55">
        <v>0.33813519813519816</v>
      </c>
      <c r="I54" s="55">
        <v>0.75</v>
      </c>
      <c r="J54" s="55">
        <v>653.5625</v>
      </c>
      <c r="K54" s="56">
        <v>447</v>
      </c>
      <c r="L54" s="55">
        <v>1.4621085011185682</v>
      </c>
      <c r="M54" s="52" t="s">
        <v>85</v>
      </c>
      <c r="N54" s="52" t="s">
        <v>150</v>
      </c>
      <c r="O54" s="14">
        <v>84</v>
      </c>
      <c r="P54" s="71"/>
    </row>
    <row r="55" spans="1:16" s="80" customFormat="1" ht="13.8" x14ac:dyDescent="0.25">
      <c r="A55" s="63" t="s">
        <v>315</v>
      </c>
      <c r="B55" s="51" t="s">
        <v>316</v>
      </c>
      <c r="C55" s="75">
        <v>0.58593572830353247</v>
      </c>
      <c r="D55" s="52">
        <v>1910</v>
      </c>
      <c r="E55" s="53">
        <v>139</v>
      </c>
      <c r="F55" s="54">
        <v>573</v>
      </c>
      <c r="G55" s="55">
        <v>2006.15625</v>
      </c>
      <c r="H55" s="55">
        <v>0.36379501824528004</v>
      </c>
      <c r="I55" s="55">
        <v>0.75</v>
      </c>
      <c r="J55" s="55">
        <v>287.34375</v>
      </c>
      <c r="K55" s="56">
        <v>198</v>
      </c>
      <c r="L55" s="55">
        <v>1.4512310606060606</v>
      </c>
      <c r="M55" s="52" t="s">
        <v>85</v>
      </c>
      <c r="N55" s="52" t="s">
        <v>150</v>
      </c>
      <c r="O55" s="14">
        <v>37</v>
      </c>
      <c r="P55" s="71"/>
    </row>
    <row r="56" spans="1:16" s="80" customFormat="1" ht="13.8" x14ac:dyDescent="0.25">
      <c r="A56" s="65">
        <v>161</v>
      </c>
      <c r="B56" s="51" t="s">
        <v>376</v>
      </c>
      <c r="C56" s="75">
        <v>0.60652606007067145</v>
      </c>
      <c r="D56" s="52">
        <v>1919</v>
      </c>
      <c r="E56" s="53">
        <v>156</v>
      </c>
      <c r="F56" s="54">
        <v>694</v>
      </c>
      <c r="G56" s="55">
        <v>2217.375</v>
      </c>
      <c r="H56" s="55">
        <v>0.34599598288359096</v>
      </c>
      <c r="I56" s="55">
        <v>0.75</v>
      </c>
      <c r="J56" s="55">
        <v>356.625</v>
      </c>
      <c r="K56" s="56">
        <v>210</v>
      </c>
      <c r="L56" s="55">
        <v>1.6982142857142857</v>
      </c>
      <c r="M56" s="52" t="s">
        <v>85</v>
      </c>
      <c r="N56" s="52" t="s">
        <v>150</v>
      </c>
      <c r="O56" s="14">
        <v>37</v>
      </c>
      <c r="P56" s="71"/>
    </row>
    <row r="57" spans="1:16" s="80" customFormat="1" ht="13.8" x14ac:dyDescent="0.25">
      <c r="A57" s="64">
        <v>213</v>
      </c>
      <c r="B57" s="51" t="s">
        <v>429</v>
      </c>
      <c r="C57" s="75">
        <v>0.52687587128252789</v>
      </c>
      <c r="D57" s="52">
        <v>1918</v>
      </c>
      <c r="E57" s="53">
        <v>80</v>
      </c>
      <c r="F57" s="54">
        <v>284</v>
      </c>
      <c r="G57" s="55">
        <v>1411.0124999999998</v>
      </c>
      <c r="H57" s="55">
        <v>0.38270024185517149</v>
      </c>
      <c r="I57" s="55">
        <v>0.75</v>
      </c>
      <c r="J57" s="55">
        <v>172.98750000000001</v>
      </c>
      <c r="K57" s="56">
        <v>93</v>
      </c>
      <c r="L57" s="55">
        <v>1.8600806451612903</v>
      </c>
      <c r="M57" s="52" t="s">
        <v>85</v>
      </c>
      <c r="N57" s="52" t="s">
        <v>150</v>
      </c>
      <c r="O57" s="14">
        <v>17</v>
      </c>
      <c r="P57" s="71"/>
    </row>
    <row r="58" spans="1:16" s="80" customFormat="1" ht="13.8" x14ac:dyDescent="0.25">
      <c r="A58" s="64">
        <v>214</v>
      </c>
      <c r="B58" s="51" t="s">
        <v>430</v>
      </c>
      <c r="C58" s="75">
        <v>0.52687587128252789</v>
      </c>
      <c r="D58" s="52">
        <v>1918</v>
      </c>
      <c r="E58" s="53">
        <v>80</v>
      </c>
      <c r="F58" s="54">
        <v>284</v>
      </c>
      <c r="G58" s="55">
        <v>1411.0124999999998</v>
      </c>
      <c r="H58" s="55">
        <v>0.38270024185517149</v>
      </c>
      <c r="I58" s="55">
        <v>0.75</v>
      </c>
      <c r="J58" s="55">
        <v>172.98750000000001</v>
      </c>
      <c r="K58" s="56">
        <v>93</v>
      </c>
      <c r="L58" s="55">
        <v>1.8600806451612903</v>
      </c>
      <c r="M58" s="52" t="s">
        <v>85</v>
      </c>
      <c r="N58" s="52" t="s">
        <v>150</v>
      </c>
      <c r="O58" s="14">
        <v>16</v>
      </c>
      <c r="P58" s="71"/>
    </row>
    <row r="59" spans="1:16" s="80" customFormat="1" ht="13.8" x14ac:dyDescent="0.25">
      <c r="A59" s="64">
        <v>215</v>
      </c>
      <c r="B59" s="51" t="s">
        <v>431</v>
      </c>
      <c r="C59" s="75">
        <v>0.30787453654661023</v>
      </c>
      <c r="D59" s="52">
        <v>1918</v>
      </c>
      <c r="E59" s="53">
        <v>80</v>
      </c>
      <c r="F59" s="54">
        <v>284</v>
      </c>
      <c r="G59" s="55">
        <v>1176.1875</v>
      </c>
      <c r="H59" s="55">
        <v>0.40290226205719165</v>
      </c>
      <c r="I59" s="55">
        <v>0.55000000000000004</v>
      </c>
      <c r="J59" s="55">
        <v>143.8125</v>
      </c>
      <c r="K59" s="56">
        <v>78</v>
      </c>
      <c r="L59" s="55">
        <v>1.84375</v>
      </c>
      <c r="M59" s="52" t="s">
        <v>85</v>
      </c>
      <c r="N59" s="52" t="s">
        <v>150</v>
      </c>
      <c r="O59" s="14">
        <v>12</v>
      </c>
      <c r="P59" s="71"/>
    </row>
    <row r="60" spans="1:16" s="84" customFormat="1" ht="13.8" x14ac:dyDescent="0.3">
      <c r="C60" s="85" t="s">
        <v>473</v>
      </c>
      <c r="F60" s="86" t="s">
        <v>472</v>
      </c>
      <c r="G60" s="87" t="s">
        <v>472</v>
      </c>
      <c r="I60" s="86" t="s">
        <v>473</v>
      </c>
      <c r="J60" s="86" t="s">
        <v>472</v>
      </c>
      <c r="O60" s="86" t="s">
        <v>472</v>
      </c>
    </row>
    <row r="61" spans="1:16" s="84" customFormat="1" ht="13.8" x14ac:dyDescent="0.3">
      <c r="C61" s="88">
        <f>AVERAGE(C49:C59)</f>
        <v>0.54878178753164031</v>
      </c>
      <c r="F61" s="89">
        <f>SUM(F49:F59)</f>
        <v>6654</v>
      </c>
      <c r="G61" s="89">
        <f>SUM(G49:G59)</f>
        <v>24116.724999999999</v>
      </c>
      <c r="I61" s="88">
        <f>AVERAGE(I49:I59)</f>
        <v>0.73181818181818192</v>
      </c>
      <c r="J61" s="89">
        <f>SUM(J49:J59)</f>
        <v>3563.6750000000002</v>
      </c>
      <c r="O61" s="89">
        <f>SUM(O49:O59)</f>
        <v>449</v>
      </c>
    </row>
    <row r="63" spans="1:16" s="80" customFormat="1" ht="13.8" x14ac:dyDescent="0.25">
      <c r="A63" s="65" t="s">
        <v>321</v>
      </c>
      <c r="B63" s="51" t="s">
        <v>322</v>
      </c>
      <c r="C63" s="75">
        <v>0.54598542528561123</v>
      </c>
      <c r="D63" s="52">
        <v>1919</v>
      </c>
      <c r="E63" s="53">
        <v>183</v>
      </c>
      <c r="F63" s="54">
        <v>823</v>
      </c>
      <c r="G63" s="55">
        <v>3112.7999999999997</v>
      </c>
      <c r="H63" s="55">
        <v>0.32336733065773166</v>
      </c>
      <c r="I63" s="55">
        <v>0.75</v>
      </c>
      <c r="J63" s="55">
        <v>510.59999999999991</v>
      </c>
      <c r="K63" s="56">
        <v>310</v>
      </c>
      <c r="L63" s="55">
        <v>1.6470967741935481</v>
      </c>
      <c r="M63" s="52" t="s">
        <v>85</v>
      </c>
      <c r="N63" s="52" t="s">
        <v>85</v>
      </c>
      <c r="O63" s="14">
        <v>34</v>
      </c>
      <c r="P63" s="71"/>
    </row>
  </sheetData>
  <conditionalFormatting sqref="E30:H30 A30:B30 J30:N30 J32:N45 B32:B45 E32:H45 A32:A42 J49:N59 B49:B59 E49:H59 A56 J2:N28 B2:B28 E2:H28 A20:A28">
    <cfRule type="containsText" dxfId="343" priority="118" operator="containsText" text="CALDAIE MURALI">
      <formula>NOT(ISERROR(SEARCH("CALDAIE MURALI",A2)))</formula>
    </cfRule>
    <cfRule type="containsText" dxfId="342" priority="119" operator="containsText" text="METANO">
      <formula>NOT(ISERROR(SEARCH("METANO",A2)))</formula>
    </cfRule>
    <cfRule type="containsText" dxfId="341" priority="120" operator="containsText" text="TELERISCALDAMENTO">
      <formula>NOT(ISERROR(SEARCH("TELERISCALDAMENTO",A2)))</formula>
    </cfRule>
    <cfRule type="containsText" dxfId="340" priority="121" operator="containsText" text="CENTRALIZZATO">
      <formula>NOT(ISERROR(SEARCH("CENTRALIZZATO",A2)))</formula>
    </cfRule>
  </conditionalFormatting>
  <conditionalFormatting sqref="A2:A8">
    <cfRule type="containsText" dxfId="339" priority="114" operator="containsText" text="CALDAIE MURALI">
      <formula>NOT(ISERROR(SEARCH("CALDAIE MURALI",A2)))</formula>
    </cfRule>
    <cfRule type="containsText" dxfId="338" priority="115" operator="containsText" text="METANO">
      <formula>NOT(ISERROR(SEARCH("METANO",A2)))</formula>
    </cfRule>
    <cfRule type="containsText" dxfId="337" priority="116" operator="containsText" text="TELERISCALDAMENTO">
      <formula>NOT(ISERROR(SEARCH("TELERISCALDAMENTO",A2)))</formula>
    </cfRule>
    <cfRule type="containsText" dxfId="336" priority="117" operator="containsText" text="CENTRALIZZATO">
      <formula>NOT(ISERROR(SEARCH("CENTRALIZZATO",A2)))</formula>
    </cfRule>
  </conditionalFormatting>
  <conditionalFormatting sqref="A9:A19">
    <cfRule type="containsText" dxfId="335" priority="102" operator="containsText" text="CALDAIE MURALI">
      <formula>NOT(ISERROR(SEARCH("CALDAIE MURALI",A9)))</formula>
    </cfRule>
    <cfRule type="containsText" dxfId="334" priority="103" operator="containsText" text="METANO">
      <formula>NOT(ISERROR(SEARCH("METANO",A9)))</formula>
    </cfRule>
    <cfRule type="containsText" dxfId="333" priority="104" operator="containsText" text="TELERISCALDAMENTO">
      <formula>NOT(ISERROR(SEARCH("TELERISCALDAMENTO",A9)))</formula>
    </cfRule>
    <cfRule type="containsText" dxfId="332" priority="105" operator="containsText" text="CENTRALIZZATO">
      <formula>NOT(ISERROR(SEARCH("CENTRALIZZATO",A9)))</formula>
    </cfRule>
  </conditionalFormatting>
  <conditionalFormatting sqref="A43:A44">
    <cfRule type="containsText" dxfId="331" priority="86" operator="containsText" text="CALDAIE MURALI">
      <formula>NOT(ISERROR(SEARCH("CALDAIE MURALI",A43)))</formula>
    </cfRule>
    <cfRule type="containsText" dxfId="330" priority="87" operator="containsText" text="METANO">
      <formula>NOT(ISERROR(SEARCH("METANO",A43)))</formula>
    </cfRule>
    <cfRule type="containsText" dxfId="329" priority="88" operator="containsText" text="TELERISCALDAMENTO">
      <formula>NOT(ISERROR(SEARCH("TELERISCALDAMENTO",A43)))</formula>
    </cfRule>
    <cfRule type="containsText" dxfId="328" priority="89" operator="containsText" text="CENTRALIZZATO">
      <formula>NOT(ISERROR(SEARCH("CENTRALIZZATO",A43)))</formula>
    </cfRule>
  </conditionalFormatting>
  <conditionalFormatting sqref="A45">
    <cfRule type="containsText" dxfId="327" priority="82" operator="containsText" text="CALDAIE MURALI">
      <formula>NOT(ISERROR(SEARCH("CALDAIE MURALI",A45)))</formula>
    </cfRule>
    <cfRule type="containsText" dxfId="326" priority="83" operator="containsText" text="METANO">
      <formula>NOT(ISERROR(SEARCH("METANO",A45)))</formula>
    </cfRule>
    <cfRule type="containsText" dxfId="325" priority="84" operator="containsText" text="TELERISCALDAMENTO">
      <formula>NOT(ISERROR(SEARCH("TELERISCALDAMENTO",A45)))</formula>
    </cfRule>
    <cfRule type="containsText" dxfId="324" priority="85" operator="containsText" text="CENTRALIZZATO">
      <formula>NOT(ISERROR(SEARCH("CENTRALIZZATO",A45)))</formula>
    </cfRule>
  </conditionalFormatting>
  <conditionalFormatting sqref="C30 C32:C45 C49:C59 C2:C28">
    <cfRule type="cellIs" dxfId="323" priority="122" operator="lessThanOrEqual">
      <formula>#REF!</formula>
    </cfRule>
    <cfRule type="cellIs" dxfId="322" priority="123" operator="greaterThan">
      <formula>#REF!</formula>
    </cfRule>
  </conditionalFormatting>
  <conditionalFormatting sqref="A49:A55">
    <cfRule type="containsText" dxfId="321" priority="64" operator="containsText" text="CALDAIE MURALI">
      <formula>NOT(ISERROR(SEARCH("CALDAIE MURALI",A49)))</formula>
    </cfRule>
    <cfRule type="containsText" dxfId="320" priority="65" operator="containsText" text="METANO">
      <formula>NOT(ISERROR(SEARCH("METANO",A49)))</formula>
    </cfRule>
    <cfRule type="containsText" dxfId="319" priority="66" operator="containsText" text="TELERISCALDAMENTO">
      <formula>NOT(ISERROR(SEARCH("TELERISCALDAMENTO",A49)))</formula>
    </cfRule>
    <cfRule type="containsText" dxfId="318" priority="67" operator="containsText" text="CENTRALIZZATO">
      <formula>NOT(ISERROR(SEARCH("CENTRALIZZATO",A49)))</formula>
    </cfRule>
  </conditionalFormatting>
  <conditionalFormatting sqref="A57:A59">
    <cfRule type="containsText" dxfId="317" priority="56" operator="containsText" text="CALDAIE MURALI">
      <formula>NOT(ISERROR(SEARCH("CALDAIE MURALI",A57)))</formula>
    </cfRule>
    <cfRule type="containsText" dxfId="316" priority="57" operator="containsText" text="METANO">
      <formula>NOT(ISERROR(SEARCH("METANO",A57)))</formula>
    </cfRule>
    <cfRule type="containsText" dxfId="315" priority="58" operator="containsText" text="TELERISCALDAMENTO">
      <formula>NOT(ISERROR(SEARCH("TELERISCALDAMENTO",A57)))</formula>
    </cfRule>
    <cfRule type="containsText" dxfId="314" priority="59" operator="containsText" text="CENTRALIZZATO">
      <formula>NOT(ISERROR(SEARCH("CENTRALIZZATO",A57)))</formula>
    </cfRule>
  </conditionalFormatting>
  <conditionalFormatting sqref="J29:K29 M29:N29 B29">
    <cfRule type="containsText" dxfId="313" priority="50" operator="containsText" text="CALDAIE MURALI">
      <formula>NOT(ISERROR(SEARCH("CALDAIE MURALI",B29)))</formula>
    </cfRule>
    <cfRule type="containsText" dxfId="312" priority="51" operator="containsText" text="METANO">
      <formula>NOT(ISERROR(SEARCH("METANO",B29)))</formula>
    </cfRule>
    <cfRule type="containsText" dxfId="311" priority="52" operator="containsText" text="TELERISCALDAMENTO">
      <formula>NOT(ISERROR(SEARCH("TELERISCALDAMENTO",B29)))</formula>
    </cfRule>
    <cfRule type="containsText" dxfId="310" priority="53" operator="containsText" text="CENTRALIZZATO">
      <formula>NOT(ISERROR(SEARCH("CENTRALIZZATO",B29)))</formula>
    </cfRule>
  </conditionalFormatting>
  <conditionalFormatting sqref="E29:H29">
    <cfRule type="containsText" dxfId="309" priority="46" operator="containsText" text="CALDAIE MURALI">
      <formula>NOT(ISERROR(SEARCH("CALDAIE MURALI",E29)))</formula>
    </cfRule>
    <cfRule type="containsText" dxfId="308" priority="47" operator="containsText" text="METANO">
      <formula>NOT(ISERROR(SEARCH("METANO",E29)))</formula>
    </cfRule>
    <cfRule type="containsText" dxfId="307" priority="48" operator="containsText" text="TELERISCALDAMENTO">
      <formula>NOT(ISERROR(SEARCH("TELERISCALDAMENTO",E29)))</formula>
    </cfRule>
    <cfRule type="containsText" dxfId="306" priority="49" operator="containsText" text="CENTRALIZZATO">
      <formula>NOT(ISERROR(SEARCH("CENTRALIZZATO",E29)))</formula>
    </cfRule>
  </conditionalFormatting>
  <conditionalFormatting sqref="L29">
    <cfRule type="containsText" dxfId="305" priority="42" operator="containsText" text="CALDAIE MURALI">
      <formula>NOT(ISERROR(SEARCH("CALDAIE MURALI",L29)))</formula>
    </cfRule>
    <cfRule type="containsText" dxfId="304" priority="43" operator="containsText" text="METANO">
      <formula>NOT(ISERROR(SEARCH("METANO",L29)))</formula>
    </cfRule>
    <cfRule type="containsText" dxfId="303" priority="44" operator="containsText" text="TELERISCALDAMENTO">
      <formula>NOT(ISERROR(SEARCH("TELERISCALDAMENTO",L29)))</formula>
    </cfRule>
    <cfRule type="containsText" dxfId="302" priority="45" operator="containsText" text="CENTRALIZZATO">
      <formula>NOT(ISERROR(SEARCH("CENTRALIZZATO",L29)))</formula>
    </cfRule>
  </conditionalFormatting>
  <conditionalFormatting sqref="C29">
    <cfRule type="cellIs" dxfId="301" priority="54" operator="lessThanOrEqual">
      <formula>#REF!</formula>
    </cfRule>
    <cfRule type="cellIs" dxfId="300" priority="55" operator="greaterThan">
      <formula>#REF!</formula>
    </cfRule>
  </conditionalFormatting>
  <conditionalFormatting sqref="A29">
    <cfRule type="containsText" dxfId="299" priority="38" operator="containsText" text="CALDAIE MURALI">
      <formula>NOT(ISERROR(SEARCH("CALDAIE MURALI",A29)))</formula>
    </cfRule>
    <cfRule type="containsText" dxfId="298" priority="39" operator="containsText" text="METANO">
      <formula>NOT(ISERROR(SEARCH("METANO",A29)))</formula>
    </cfRule>
    <cfRule type="containsText" dxfId="297" priority="40" operator="containsText" text="TELERISCALDAMENTO">
      <formula>NOT(ISERROR(SEARCH("TELERISCALDAMENTO",A29)))</formula>
    </cfRule>
    <cfRule type="containsText" dxfId="296" priority="41" operator="containsText" text="CENTRALIZZATO">
      <formula>NOT(ISERROR(SEARCH("CENTRALIZZATO",A29)))</formula>
    </cfRule>
  </conditionalFormatting>
  <conditionalFormatting sqref="J31:K31 M31:N31 B31">
    <cfRule type="containsText" dxfId="295" priority="32" operator="containsText" text="CALDAIE MURALI">
      <formula>NOT(ISERROR(SEARCH("CALDAIE MURALI",B31)))</formula>
    </cfRule>
    <cfRule type="containsText" dxfId="294" priority="33" operator="containsText" text="METANO">
      <formula>NOT(ISERROR(SEARCH("METANO",B31)))</formula>
    </cfRule>
    <cfRule type="containsText" dxfId="293" priority="34" operator="containsText" text="TELERISCALDAMENTO">
      <formula>NOT(ISERROR(SEARCH("TELERISCALDAMENTO",B31)))</formula>
    </cfRule>
    <cfRule type="containsText" dxfId="292" priority="35" operator="containsText" text="CENTRALIZZATO">
      <formula>NOT(ISERROR(SEARCH("CENTRALIZZATO",B31)))</formula>
    </cfRule>
  </conditionalFormatting>
  <conditionalFormatting sqref="E31:H31">
    <cfRule type="containsText" dxfId="291" priority="28" operator="containsText" text="CALDAIE MURALI">
      <formula>NOT(ISERROR(SEARCH("CALDAIE MURALI",E31)))</formula>
    </cfRule>
    <cfRule type="containsText" dxfId="290" priority="29" operator="containsText" text="METANO">
      <formula>NOT(ISERROR(SEARCH("METANO",E31)))</formula>
    </cfRule>
    <cfRule type="containsText" dxfId="289" priority="30" operator="containsText" text="TELERISCALDAMENTO">
      <formula>NOT(ISERROR(SEARCH("TELERISCALDAMENTO",E31)))</formula>
    </cfRule>
    <cfRule type="containsText" dxfId="288" priority="31" operator="containsText" text="CENTRALIZZATO">
      <formula>NOT(ISERROR(SEARCH("CENTRALIZZATO",E31)))</formula>
    </cfRule>
  </conditionalFormatting>
  <conditionalFormatting sqref="L31">
    <cfRule type="containsText" dxfId="287" priority="24" operator="containsText" text="CALDAIE MURALI">
      <formula>NOT(ISERROR(SEARCH("CALDAIE MURALI",L31)))</formula>
    </cfRule>
    <cfRule type="containsText" dxfId="286" priority="25" operator="containsText" text="METANO">
      <formula>NOT(ISERROR(SEARCH("METANO",L31)))</formula>
    </cfRule>
    <cfRule type="containsText" dxfId="285" priority="26" operator="containsText" text="TELERISCALDAMENTO">
      <formula>NOT(ISERROR(SEARCH("TELERISCALDAMENTO",L31)))</formula>
    </cfRule>
    <cfRule type="containsText" dxfId="284" priority="27" operator="containsText" text="CENTRALIZZATO">
      <formula>NOT(ISERROR(SEARCH("CENTRALIZZATO",L31)))</formula>
    </cfRule>
  </conditionalFormatting>
  <conditionalFormatting sqref="C31">
    <cfRule type="cellIs" dxfId="283" priority="36" operator="lessThanOrEqual">
      <formula>#REF!</formula>
    </cfRule>
    <cfRule type="cellIs" dxfId="282" priority="37" operator="greaterThan">
      <formula>#REF!</formula>
    </cfRule>
  </conditionalFormatting>
  <conditionalFormatting sqref="A31">
    <cfRule type="containsText" dxfId="281" priority="20" operator="containsText" text="CALDAIE MURALI">
      <formula>NOT(ISERROR(SEARCH("CALDAIE MURALI",A31)))</formula>
    </cfRule>
    <cfRule type="containsText" dxfId="280" priority="21" operator="containsText" text="METANO">
      <formula>NOT(ISERROR(SEARCH("METANO",A31)))</formula>
    </cfRule>
    <cfRule type="containsText" dxfId="279" priority="22" operator="containsText" text="TELERISCALDAMENTO">
      <formula>NOT(ISERROR(SEARCH("TELERISCALDAMENTO",A31)))</formula>
    </cfRule>
    <cfRule type="containsText" dxfId="278" priority="23" operator="containsText" text="CENTRALIZZATO">
      <formula>NOT(ISERROR(SEARCH("CENTRALIZZATO",A31)))</formula>
    </cfRule>
  </conditionalFormatting>
  <conditionalFormatting sqref="J63:N63 E63:H63 A63:B63">
    <cfRule type="containsText" dxfId="277" priority="14" operator="containsText" text="CALDAIE MURALI">
      <formula>NOT(ISERROR(SEARCH("CALDAIE MURALI",A63)))</formula>
    </cfRule>
    <cfRule type="containsText" dxfId="276" priority="15" operator="containsText" text="METANO">
      <formula>NOT(ISERROR(SEARCH("METANO",A63)))</formula>
    </cfRule>
    <cfRule type="containsText" dxfId="275" priority="16" operator="containsText" text="TELERISCALDAMENTO">
      <formula>NOT(ISERROR(SEARCH("TELERISCALDAMENTO",A63)))</formula>
    </cfRule>
    <cfRule type="containsText" dxfId="274" priority="17" operator="containsText" text="CENTRALIZZATO">
      <formula>NOT(ISERROR(SEARCH("CENTRALIZZATO",A63)))</formula>
    </cfRule>
  </conditionalFormatting>
  <conditionalFormatting sqref="C63">
    <cfRule type="cellIs" dxfId="273" priority="18" operator="lessThanOrEqual">
      <formula>#REF!</formula>
    </cfRule>
    <cfRule type="cellIs" dxfId="272" priority="19" operator="greaterThan">
      <formula>#REF!</formula>
    </cfRule>
  </conditionalFormatting>
  <conditionalFormatting sqref="M1:O1 E1:J1">
    <cfRule type="containsText" dxfId="271" priority="10" operator="containsText" text="CALDAIE MURALI">
      <formula>NOT(ISERROR(SEARCH("CALDAIE MURALI",E1)))</formula>
    </cfRule>
    <cfRule type="containsText" dxfId="270" priority="11" operator="containsText" text="METANO">
      <formula>NOT(ISERROR(SEARCH("METANO",E1)))</formula>
    </cfRule>
    <cfRule type="containsText" dxfId="269" priority="12" operator="containsText" text="TELERISCALDAMENTO">
      <formula>NOT(ISERROR(SEARCH("TELERISCALDAMENTO",E1)))</formula>
    </cfRule>
    <cfRule type="containsText" dxfId="268" priority="13" operator="containsText" text="CENTRALIZZATO">
      <formula>NOT(ISERROR(SEARCH("CENTRALIZZATO",E1)))</formula>
    </cfRule>
  </conditionalFormatting>
  <conditionalFormatting sqref="D1">
    <cfRule type="containsText" dxfId="267" priority="6" operator="containsText" text="CALDAIE MURALI">
      <formula>NOT(ISERROR(SEARCH("CALDAIE MURALI",D1)))</formula>
    </cfRule>
    <cfRule type="containsText" dxfId="266" priority="7" operator="containsText" text="METANO">
      <formula>NOT(ISERROR(SEARCH("METANO",D1)))</formula>
    </cfRule>
    <cfRule type="containsText" dxfId="265" priority="8" operator="containsText" text="TELERISCALDAMENTO">
      <formula>NOT(ISERROR(SEARCH("TELERISCALDAMENTO",D1)))</formula>
    </cfRule>
    <cfRule type="containsText" dxfId="264" priority="9" operator="containsText" text="CENTRALIZZATO">
      <formula>NOT(ISERROR(SEARCH("CENTRALIZZATO",D1)))</formula>
    </cfRule>
  </conditionalFormatting>
  <conditionalFormatting sqref="K1:L1">
    <cfRule type="containsText" dxfId="263" priority="2" operator="containsText" text="CALDAIE MURALI">
      <formula>NOT(ISERROR(SEARCH("CALDAIE MURALI",K1)))</formula>
    </cfRule>
    <cfRule type="containsText" dxfId="262" priority="3" operator="containsText" text="METANO">
      <formula>NOT(ISERROR(SEARCH("METANO",K1)))</formula>
    </cfRule>
    <cfRule type="containsText" dxfId="261" priority="4" operator="containsText" text="TELERISCALDAMENTO">
      <formula>NOT(ISERROR(SEARCH("TELERISCALDAMENTO",K1)))</formula>
    </cfRule>
    <cfRule type="containsText" dxfId="260" priority="5" operator="containsText" text="CENTRALIZZATO">
      <formula>NOT(ISERROR(SEARCH("CENTRALIZZATO",K1)))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77DADEE2-9AC5-4339-9FFE-13029BDC4903}">
            <xm:f>NOT(ISERROR(SEARCH(#REF!,O1)))</xm:f>
            <xm:f>#REF!</xm:f>
            <x14:dxf>
              <fill>
                <patternFill>
                  <bgColor theme="2" tint="-9.9948118533890809E-2"/>
                </patternFill>
              </fill>
            </x14:dxf>
          </x14:cfRule>
          <xm:sqref>O1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F1920-B853-439F-8F42-9B83594B7E1D}">
  <sheetPr>
    <tabColor theme="9" tint="-0.249977111117893"/>
  </sheetPr>
  <dimension ref="A1:P74"/>
  <sheetViews>
    <sheetView topLeftCell="A55" workbookViewId="0">
      <selection activeCell="B77" sqref="B77"/>
    </sheetView>
  </sheetViews>
  <sheetFormatPr defaultRowHeight="14.4" x14ac:dyDescent="0.3"/>
  <cols>
    <col min="2" max="2" width="58.88671875" bestFit="1" customWidth="1"/>
  </cols>
  <sheetData>
    <row r="1" spans="1:16" s="80" customFormat="1" ht="36" x14ac:dyDescent="0.25">
      <c r="B1" s="2" t="s">
        <v>4</v>
      </c>
      <c r="C1" s="74" t="s">
        <v>71</v>
      </c>
      <c r="D1" s="73" t="s">
        <v>72</v>
      </c>
      <c r="E1" s="48" t="s">
        <v>73</v>
      </c>
      <c r="F1" s="48" t="s">
        <v>74</v>
      </c>
      <c r="G1" s="46" t="s">
        <v>475</v>
      </c>
      <c r="H1" s="46" t="s">
        <v>75</v>
      </c>
      <c r="I1" s="47" t="s">
        <v>76</v>
      </c>
      <c r="J1" s="48" t="s">
        <v>77</v>
      </c>
      <c r="K1" s="49" t="s">
        <v>78</v>
      </c>
      <c r="L1" s="49" t="s">
        <v>79</v>
      </c>
      <c r="M1" s="45" t="s">
        <v>80</v>
      </c>
      <c r="N1" s="45" t="s">
        <v>81</v>
      </c>
      <c r="O1" s="45" t="s">
        <v>82</v>
      </c>
    </row>
    <row r="2" spans="1:16" s="80" customFormat="1" ht="13.8" x14ac:dyDescent="0.25">
      <c r="A2" s="50" t="s">
        <v>83</v>
      </c>
      <c r="B2" s="51" t="s">
        <v>84</v>
      </c>
      <c r="C2" s="75">
        <v>0.61466092609489054</v>
      </c>
      <c r="D2" s="52">
        <v>1926</v>
      </c>
      <c r="E2" s="53">
        <v>100</v>
      </c>
      <c r="F2" s="54">
        <v>436</v>
      </c>
      <c r="G2" s="55">
        <v>1148.7625</v>
      </c>
      <c r="H2" s="55">
        <v>0.38087294968028912</v>
      </c>
      <c r="I2" s="55">
        <v>0.75</v>
      </c>
      <c r="J2" s="55">
        <v>171.23750000000001</v>
      </c>
      <c r="K2" s="56">
        <v>92</v>
      </c>
      <c r="L2" s="55">
        <v>1.8612771739130436</v>
      </c>
      <c r="M2" s="52" t="s">
        <v>85</v>
      </c>
      <c r="N2" s="52" t="s">
        <v>85</v>
      </c>
      <c r="O2" s="14">
        <v>24</v>
      </c>
      <c r="P2" s="71"/>
    </row>
    <row r="3" spans="1:16" s="80" customFormat="1" ht="13.8" x14ac:dyDescent="0.25">
      <c r="A3" s="50" t="s">
        <v>86</v>
      </c>
      <c r="B3" s="51" t="s">
        <v>87</v>
      </c>
      <c r="C3" s="75">
        <v>0.60927608108108111</v>
      </c>
      <c r="D3" s="52">
        <v>1926</v>
      </c>
      <c r="E3" s="53">
        <v>85</v>
      </c>
      <c r="F3" s="54">
        <v>364</v>
      </c>
      <c r="G3" s="55">
        <v>981.36249999999995</v>
      </c>
      <c r="H3" s="55">
        <v>0.38503163503163501</v>
      </c>
      <c r="I3" s="55">
        <v>0.75</v>
      </c>
      <c r="J3" s="55">
        <v>140.63749999999999</v>
      </c>
      <c r="K3" s="56">
        <v>76</v>
      </c>
      <c r="L3" s="55">
        <v>1.8504934210526314</v>
      </c>
      <c r="M3" s="52" t="s">
        <v>85</v>
      </c>
      <c r="N3" s="52" t="s">
        <v>85</v>
      </c>
      <c r="O3" s="14">
        <v>19</v>
      </c>
      <c r="P3" s="71"/>
    </row>
    <row r="4" spans="1:16" s="80" customFormat="1" ht="13.8" x14ac:dyDescent="0.25">
      <c r="A4" s="50" t="s">
        <v>88</v>
      </c>
      <c r="B4" s="51" t="s">
        <v>89</v>
      </c>
      <c r="C4" s="75">
        <v>0.62300157020193991</v>
      </c>
      <c r="D4" s="52">
        <v>1926</v>
      </c>
      <c r="E4" s="53">
        <v>113</v>
      </c>
      <c r="F4" s="54">
        <v>512</v>
      </c>
      <c r="G4" s="55">
        <v>1292.0625</v>
      </c>
      <c r="H4" s="55">
        <v>0.37221827651515155</v>
      </c>
      <c r="I4" s="55">
        <v>0.75</v>
      </c>
      <c r="J4" s="55">
        <v>199.53749999999999</v>
      </c>
      <c r="K4" s="56">
        <v>109</v>
      </c>
      <c r="L4" s="55">
        <v>1.8306192660550458</v>
      </c>
      <c r="M4" s="52" t="s">
        <v>85</v>
      </c>
      <c r="N4" s="52" t="s">
        <v>85</v>
      </c>
      <c r="O4" s="14">
        <v>26</v>
      </c>
      <c r="P4" s="71"/>
    </row>
    <row r="5" spans="1:16" s="80" customFormat="1" ht="13.8" x14ac:dyDescent="0.25">
      <c r="A5" s="50" t="s">
        <v>90</v>
      </c>
      <c r="B5" s="51" t="s">
        <v>91</v>
      </c>
      <c r="C5" s="75">
        <v>0.60927608108108111</v>
      </c>
      <c r="D5" s="52">
        <v>1926</v>
      </c>
      <c r="E5" s="53">
        <v>85</v>
      </c>
      <c r="F5" s="54">
        <v>364</v>
      </c>
      <c r="G5" s="55">
        <v>981.36249999999995</v>
      </c>
      <c r="H5" s="55">
        <v>0.38503163503163501</v>
      </c>
      <c r="I5" s="55">
        <v>0.75</v>
      </c>
      <c r="J5" s="55">
        <v>140.63749999999999</v>
      </c>
      <c r="K5" s="56">
        <v>74</v>
      </c>
      <c r="L5" s="55">
        <v>1.9005067567567566</v>
      </c>
      <c r="M5" s="52" t="s">
        <v>85</v>
      </c>
      <c r="N5" s="52" t="s">
        <v>85</v>
      </c>
      <c r="O5" s="14">
        <v>20</v>
      </c>
      <c r="P5" s="71"/>
    </row>
    <row r="6" spans="1:16" s="80" customFormat="1" ht="13.8" x14ac:dyDescent="0.25">
      <c r="A6" s="50" t="s">
        <v>92</v>
      </c>
      <c r="B6" s="51" t="s">
        <v>93</v>
      </c>
      <c r="C6" s="75">
        <v>0.61466092609489054</v>
      </c>
      <c r="D6" s="52">
        <v>1926</v>
      </c>
      <c r="E6" s="53">
        <v>100</v>
      </c>
      <c r="F6" s="54">
        <v>436</v>
      </c>
      <c r="G6" s="55">
        <v>1148.7625</v>
      </c>
      <c r="H6" s="55">
        <v>0.38087294968028912</v>
      </c>
      <c r="I6" s="55">
        <v>0.75</v>
      </c>
      <c r="J6" s="55">
        <v>171.23750000000001</v>
      </c>
      <c r="K6" s="56">
        <v>92</v>
      </c>
      <c r="L6" s="55">
        <v>1.8612771739130436</v>
      </c>
      <c r="M6" s="52" t="s">
        <v>85</v>
      </c>
      <c r="N6" s="52" t="s">
        <v>85</v>
      </c>
      <c r="O6" s="14">
        <v>22</v>
      </c>
      <c r="P6" s="71"/>
    </row>
    <row r="7" spans="1:16" s="80" customFormat="1" ht="13.8" x14ac:dyDescent="0.25">
      <c r="A7" s="50" t="s">
        <v>94</v>
      </c>
      <c r="B7" s="51" t="s">
        <v>95</v>
      </c>
      <c r="C7" s="75">
        <v>0.62300157020193991</v>
      </c>
      <c r="D7" s="52">
        <v>1926</v>
      </c>
      <c r="E7" s="53">
        <v>113</v>
      </c>
      <c r="F7" s="54">
        <v>512</v>
      </c>
      <c r="G7" s="55">
        <v>1292.0625</v>
      </c>
      <c r="H7" s="55">
        <v>0.37221827651515155</v>
      </c>
      <c r="I7" s="55">
        <v>0.75</v>
      </c>
      <c r="J7" s="55">
        <v>199.53749999999999</v>
      </c>
      <c r="K7" s="56">
        <v>121</v>
      </c>
      <c r="L7" s="55">
        <v>1.6490702479338843</v>
      </c>
      <c r="M7" s="52" t="s">
        <v>85</v>
      </c>
      <c r="N7" s="52" t="s">
        <v>85</v>
      </c>
      <c r="O7" s="14">
        <v>31</v>
      </c>
      <c r="P7" s="71"/>
    </row>
    <row r="8" spans="1:16" s="80" customFormat="1" ht="13.8" x14ac:dyDescent="0.25">
      <c r="A8" s="50" t="s">
        <v>96</v>
      </c>
      <c r="B8" s="51" t="s">
        <v>97</v>
      </c>
      <c r="C8" s="75">
        <v>0.61466092609489054</v>
      </c>
      <c r="D8" s="52">
        <v>1926</v>
      </c>
      <c r="E8" s="53">
        <v>100</v>
      </c>
      <c r="F8" s="54">
        <v>436</v>
      </c>
      <c r="G8" s="55">
        <v>1148.7625</v>
      </c>
      <c r="H8" s="55">
        <v>0.38087294968028912</v>
      </c>
      <c r="I8" s="55">
        <v>0.75</v>
      </c>
      <c r="J8" s="55">
        <v>171.23750000000001</v>
      </c>
      <c r="K8" s="56">
        <v>92</v>
      </c>
      <c r="L8" s="55">
        <v>1.8612771739130436</v>
      </c>
      <c r="M8" s="52" t="s">
        <v>85</v>
      </c>
      <c r="N8" s="52" t="s">
        <v>85</v>
      </c>
      <c r="O8" s="14">
        <v>20</v>
      </c>
      <c r="P8" s="71"/>
    </row>
    <row r="9" spans="1:16" s="80" customFormat="1" ht="13.8" x14ac:dyDescent="0.25">
      <c r="A9" s="50" t="s">
        <v>98</v>
      </c>
      <c r="B9" s="51" t="s">
        <v>99</v>
      </c>
      <c r="C9" s="75">
        <v>0.61466092609489054</v>
      </c>
      <c r="D9" s="52">
        <v>1926</v>
      </c>
      <c r="E9" s="53">
        <v>100</v>
      </c>
      <c r="F9" s="56">
        <v>436</v>
      </c>
      <c r="G9" s="55">
        <v>1148.7625</v>
      </c>
      <c r="H9" s="55">
        <v>0.38087294968028912</v>
      </c>
      <c r="I9" s="55">
        <v>0.75</v>
      </c>
      <c r="J9" s="55">
        <v>171.23750000000001</v>
      </c>
      <c r="K9" s="56">
        <v>92</v>
      </c>
      <c r="L9" s="55">
        <v>1.8612771739130436</v>
      </c>
      <c r="M9" s="52" t="s">
        <v>85</v>
      </c>
      <c r="N9" s="52" t="s">
        <v>85</v>
      </c>
      <c r="O9" s="14">
        <v>22</v>
      </c>
      <c r="P9" s="71"/>
    </row>
    <row r="10" spans="1:16" s="80" customFormat="1" ht="13.8" x14ac:dyDescent="0.25">
      <c r="A10" s="50" t="s">
        <v>100</v>
      </c>
      <c r="B10" s="51" t="s">
        <v>101</v>
      </c>
      <c r="C10" s="75">
        <v>0.62300157020193991</v>
      </c>
      <c r="D10" s="52">
        <v>1926</v>
      </c>
      <c r="E10" s="53">
        <v>113</v>
      </c>
      <c r="F10" s="56">
        <v>512</v>
      </c>
      <c r="G10" s="55">
        <v>1292.0625</v>
      </c>
      <c r="H10" s="55">
        <v>0.37221827651515155</v>
      </c>
      <c r="I10" s="55">
        <v>0.75</v>
      </c>
      <c r="J10" s="55">
        <v>199.53749999999999</v>
      </c>
      <c r="K10" s="56">
        <v>107</v>
      </c>
      <c r="L10" s="55">
        <v>1.8648364485981308</v>
      </c>
      <c r="M10" s="52" t="s">
        <v>85</v>
      </c>
      <c r="N10" s="52" t="s">
        <v>85</v>
      </c>
      <c r="O10" s="14">
        <v>28</v>
      </c>
      <c r="P10" s="71"/>
    </row>
    <row r="11" spans="1:16" s="80" customFormat="1" ht="13.8" x14ac:dyDescent="0.25">
      <c r="A11" s="50" t="s">
        <v>102</v>
      </c>
      <c r="B11" s="51" t="s">
        <v>103</v>
      </c>
      <c r="C11" s="75">
        <v>0.60927608108108111</v>
      </c>
      <c r="D11" s="52">
        <v>1926</v>
      </c>
      <c r="E11" s="53">
        <v>85</v>
      </c>
      <c r="F11" s="56">
        <v>364</v>
      </c>
      <c r="G11" s="55">
        <v>981.36249999999995</v>
      </c>
      <c r="H11" s="55">
        <v>0.38503163503163501</v>
      </c>
      <c r="I11" s="55">
        <v>0.75</v>
      </c>
      <c r="J11" s="55">
        <v>140.63749999999999</v>
      </c>
      <c r="K11" s="56">
        <v>78</v>
      </c>
      <c r="L11" s="55">
        <v>1.8030448717948717</v>
      </c>
      <c r="M11" s="52" t="s">
        <v>85</v>
      </c>
      <c r="N11" s="52" t="s">
        <v>85</v>
      </c>
      <c r="O11" s="14">
        <v>21</v>
      </c>
      <c r="P11" s="71"/>
    </row>
    <row r="12" spans="1:16" s="80" customFormat="1" ht="13.8" x14ac:dyDescent="0.25">
      <c r="A12" s="50" t="s">
        <v>104</v>
      </c>
      <c r="B12" s="51" t="s">
        <v>105</v>
      </c>
      <c r="C12" s="75">
        <v>0.62300157020193991</v>
      </c>
      <c r="D12" s="52">
        <v>1926</v>
      </c>
      <c r="E12" s="53">
        <v>113</v>
      </c>
      <c r="F12" s="56">
        <v>512</v>
      </c>
      <c r="G12" s="55">
        <v>1292.0625</v>
      </c>
      <c r="H12" s="55">
        <v>0.37221827651515155</v>
      </c>
      <c r="I12" s="55">
        <v>0.75</v>
      </c>
      <c r="J12" s="55">
        <v>199.53749999999999</v>
      </c>
      <c r="K12" s="56">
        <v>127</v>
      </c>
      <c r="L12" s="55">
        <v>1.5711614173228345</v>
      </c>
      <c r="M12" s="52" t="s">
        <v>85</v>
      </c>
      <c r="N12" s="52" t="s">
        <v>85</v>
      </c>
      <c r="O12" s="14">
        <v>30</v>
      </c>
      <c r="P12" s="71"/>
    </row>
    <row r="13" spans="1:16" s="80" customFormat="1" ht="13.8" x14ac:dyDescent="0.25">
      <c r="A13" s="57" t="s">
        <v>106</v>
      </c>
      <c r="B13" s="51" t="s">
        <v>107</v>
      </c>
      <c r="C13" s="75">
        <v>0.62922712053571428</v>
      </c>
      <c r="D13" s="52">
        <v>1924</v>
      </c>
      <c r="E13" s="53">
        <v>100</v>
      </c>
      <c r="F13" s="54">
        <v>460</v>
      </c>
      <c r="G13" s="55">
        <v>1134.5625</v>
      </c>
      <c r="H13" s="55">
        <v>0.3689064558629776</v>
      </c>
      <c r="I13" s="55">
        <v>0.75</v>
      </c>
      <c r="J13" s="55">
        <v>185.4375</v>
      </c>
      <c r="K13" s="56">
        <v>127</v>
      </c>
      <c r="L13" s="55">
        <v>1.4601377952755905</v>
      </c>
      <c r="M13" s="52" t="s">
        <v>85</v>
      </c>
      <c r="N13" s="52" t="s">
        <v>85</v>
      </c>
      <c r="O13" s="14">
        <v>21</v>
      </c>
      <c r="P13" s="71"/>
    </row>
    <row r="14" spans="1:16" s="80" customFormat="1" ht="13.8" x14ac:dyDescent="0.25">
      <c r="A14" s="57" t="s">
        <v>108</v>
      </c>
      <c r="B14" s="51" t="s">
        <v>109</v>
      </c>
      <c r="C14" s="75">
        <v>0.62922712053571428</v>
      </c>
      <c r="D14" s="52">
        <v>1924</v>
      </c>
      <c r="E14" s="53">
        <v>100</v>
      </c>
      <c r="F14" s="54">
        <v>460</v>
      </c>
      <c r="G14" s="55">
        <v>1134.5625</v>
      </c>
      <c r="H14" s="55">
        <v>0.3689064558629776</v>
      </c>
      <c r="I14" s="55">
        <v>0.75</v>
      </c>
      <c r="J14" s="55">
        <v>185.4375</v>
      </c>
      <c r="K14" s="56">
        <v>112</v>
      </c>
      <c r="L14" s="55">
        <v>1.6556919642857142</v>
      </c>
      <c r="M14" s="52" t="s">
        <v>85</v>
      </c>
      <c r="N14" s="52" t="s">
        <v>85</v>
      </c>
      <c r="O14" s="14">
        <v>20</v>
      </c>
      <c r="P14" s="71"/>
    </row>
    <row r="15" spans="1:16" s="80" customFormat="1" ht="13.8" x14ac:dyDescent="0.25">
      <c r="A15" s="57" t="s">
        <v>110</v>
      </c>
      <c r="B15" s="51" t="s">
        <v>111</v>
      </c>
      <c r="C15" s="75">
        <v>0.62922712053571428</v>
      </c>
      <c r="D15" s="52">
        <v>1924</v>
      </c>
      <c r="E15" s="53">
        <v>100</v>
      </c>
      <c r="F15" s="54">
        <v>460</v>
      </c>
      <c r="G15" s="55">
        <v>1134.5625</v>
      </c>
      <c r="H15" s="55">
        <v>0.3689064558629776</v>
      </c>
      <c r="I15" s="55">
        <v>0.75</v>
      </c>
      <c r="J15" s="55">
        <v>185.4375</v>
      </c>
      <c r="K15" s="56">
        <v>111</v>
      </c>
      <c r="L15" s="55">
        <v>1.6706081081081081</v>
      </c>
      <c r="M15" s="52" t="s">
        <v>85</v>
      </c>
      <c r="N15" s="52" t="s">
        <v>85</v>
      </c>
      <c r="O15" s="14">
        <v>24</v>
      </c>
      <c r="P15" s="71"/>
    </row>
    <row r="16" spans="1:16" s="80" customFormat="1" ht="13.8" x14ac:dyDescent="0.25">
      <c r="A16" s="57" t="s">
        <v>112</v>
      </c>
      <c r="B16" s="51" t="s">
        <v>113</v>
      </c>
      <c r="C16" s="75">
        <v>0.62922712053571428</v>
      </c>
      <c r="D16" s="52">
        <v>1924</v>
      </c>
      <c r="E16" s="53">
        <v>100</v>
      </c>
      <c r="F16" s="54">
        <v>460</v>
      </c>
      <c r="G16" s="55">
        <v>1134.5625</v>
      </c>
      <c r="H16" s="55">
        <v>0.3689064558629776</v>
      </c>
      <c r="I16" s="55">
        <v>0.75</v>
      </c>
      <c r="J16" s="55">
        <v>185.4375</v>
      </c>
      <c r="K16" s="56">
        <v>109</v>
      </c>
      <c r="L16" s="55">
        <v>1.7012614678899083</v>
      </c>
      <c r="M16" s="52" t="s">
        <v>85</v>
      </c>
      <c r="N16" s="52" t="s">
        <v>85</v>
      </c>
      <c r="O16" s="14">
        <v>20</v>
      </c>
      <c r="P16" s="71"/>
    </row>
    <row r="17" spans="1:16" s="80" customFormat="1" ht="13.8" x14ac:dyDescent="0.25">
      <c r="A17" s="57" t="s">
        <v>114</v>
      </c>
      <c r="B17" s="51" t="s">
        <v>115</v>
      </c>
      <c r="C17" s="75">
        <v>0.62922712053571428</v>
      </c>
      <c r="D17" s="52">
        <v>1924</v>
      </c>
      <c r="E17" s="53">
        <v>100</v>
      </c>
      <c r="F17" s="54">
        <v>460</v>
      </c>
      <c r="G17" s="55">
        <v>1134.5625</v>
      </c>
      <c r="H17" s="55">
        <v>0.3689064558629776</v>
      </c>
      <c r="I17" s="55">
        <v>0.75</v>
      </c>
      <c r="J17" s="55">
        <v>185.4375</v>
      </c>
      <c r="K17" s="56">
        <v>109</v>
      </c>
      <c r="L17" s="55">
        <v>1.7012614678899083</v>
      </c>
      <c r="M17" s="52" t="s">
        <v>85</v>
      </c>
      <c r="N17" s="52" t="s">
        <v>85</v>
      </c>
      <c r="O17" s="14">
        <v>22</v>
      </c>
      <c r="P17" s="71"/>
    </row>
    <row r="18" spans="1:16" s="80" customFormat="1" ht="13.8" x14ac:dyDescent="0.25">
      <c r="A18" s="57" t="s">
        <v>116</v>
      </c>
      <c r="B18" s="51" t="s">
        <v>117</v>
      </c>
      <c r="C18" s="75">
        <v>0.62922712053571428</v>
      </c>
      <c r="D18" s="52">
        <v>1924</v>
      </c>
      <c r="E18" s="53">
        <v>100</v>
      </c>
      <c r="F18" s="54">
        <v>460</v>
      </c>
      <c r="G18" s="55">
        <v>1134.5625</v>
      </c>
      <c r="H18" s="55">
        <v>0.3689064558629776</v>
      </c>
      <c r="I18" s="55">
        <v>0.75</v>
      </c>
      <c r="J18" s="55">
        <v>185.4375</v>
      </c>
      <c r="K18" s="56">
        <v>109</v>
      </c>
      <c r="L18" s="55">
        <v>1.7012614678899083</v>
      </c>
      <c r="M18" s="52" t="s">
        <v>85</v>
      </c>
      <c r="N18" s="52" t="s">
        <v>85</v>
      </c>
      <c r="O18" s="14">
        <v>21</v>
      </c>
      <c r="P18" s="71"/>
    </row>
    <row r="19" spans="1:16" s="80" customFormat="1" ht="13.8" x14ac:dyDescent="0.25">
      <c r="A19" s="57" t="s">
        <v>118</v>
      </c>
      <c r="B19" s="51" t="s">
        <v>119</v>
      </c>
      <c r="C19" s="75">
        <v>0.63499276583566522</v>
      </c>
      <c r="D19" s="52">
        <v>1924</v>
      </c>
      <c r="E19" s="53">
        <v>139</v>
      </c>
      <c r="F19" s="54">
        <v>655</v>
      </c>
      <c r="G19" s="55">
        <v>1570.4875</v>
      </c>
      <c r="H19" s="55">
        <v>0.36372889197316682</v>
      </c>
      <c r="I19" s="55">
        <v>0.75</v>
      </c>
      <c r="J19" s="55">
        <v>264.3125</v>
      </c>
      <c r="K19" s="58">
        <v>155</v>
      </c>
      <c r="L19" s="55">
        <v>1.705241935483871</v>
      </c>
      <c r="M19" s="52" t="s">
        <v>85</v>
      </c>
      <c r="N19" s="52" t="s">
        <v>85</v>
      </c>
      <c r="O19" s="14">
        <v>26</v>
      </c>
      <c r="P19" s="71"/>
    </row>
    <row r="20" spans="1:16" s="80" customFormat="1" ht="13.8" x14ac:dyDescent="0.25">
      <c r="A20" s="57" t="s">
        <v>120</v>
      </c>
      <c r="B20" s="51" t="s">
        <v>121</v>
      </c>
      <c r="C20" s="75">
        <v>0.29994148575305291</v>
      </c>
      <c r="D20" s="52">
        <v>1924</v>
      </c>
      <c r="E20" s="53">
        <v>98</v>
      </c>
      <c r="F20" s="54">
        <v>385</v>
      </c>
      <c r="G20" s="55">
        <v>1140.0374999999999</v>
      </c>
      <c r="H20" s="55">
        <v>0.40606060606060607</v>
      </c>
      <c r="I20" s="55">
        <v>0.55000000000000004</v>
      </c>
      <c r="J20" s="55">
        <v>153.5625</v>
      </c>
      <c r="K20" s="56">
        <v>106</v>
      </c>
      <c r="L20" s="55">
        <v>1.4487028301886793</v>
      </c>
      <c r="M20" s="52" t="s">
        <v>85</v>
      </c>
      <c r="N20" s="52" t="s">
        <v>85</v>
      </c>
      <c r="O20" s="14">
        <v>20</v>
      </c>
      <c r="P20" s="71"/>
    </row>
    <row r="21" spans="1:16" s="80" customFormat="1" ht="13.8" x14ac:dyDescent="0.25">
      <c r="A21" s="57" t="s">
        <v>122</v>
      </c>
      <c r="B21" s="51" t="s">
        <v>123</v>
      </c>
      <c r="C21" s="75">
        <v>0.62922712053571428</v>
      </c>
      <c r="D21" s="52">
        <v>1924</v>
      </c>
      <c r="E21" s="53">
        <v>100</v>
      </c>
      <c r="F21" s="54">
        <v>460</v>
      </c>
      <c r="G21" s="55">
        <v>1134.5625</v>
      </c>
      <c r="H21" s="55">
        <v>0.3689064558629776</v>
      </c>
      <c r="I21" s="55">
        <v>0.75</v>
      </c>
      <c r="J21" s="55">
        <v>185.4375</v>
      </c>
      <c r="K21" s="56">
        <v>114</v>
      </c>
      <c r="L21" s="55">
        <v>1.6266447368421053</v>
      </c>
      <c r="M21" s="52" t="s">
        <v>85</v>
      </c>
      <c r="N21" s="52" t="s">
        <v>85</v>
      </c>
      <c r="O21" s="14">
        <v>22</v>
      </c>
      <c r="P21" s="71"/>
    </row>
    <row r="22" spans="1:16" s="80" customFormat="1" ht="13.8" x14ac:dyDescent="0.25">
      <c r="A22" s="57" t="s">
        <v>124</v>
      </c>
      <c r="B22" s="51" t="s">
        <v>125</v>
      </c>
      <c r="C22" s="75">
        <v>0.62922712053571428</v>
      </c>
      <c r="D22" s="52">
        <v>1924</v>
      </c>
      <c r="E22" s="53">
        <v>100</v>
      </c>
      <c r="F22" s="54">
        <v>460</v>
      </c>
      <c r="G22" s="55">
        <v>1134.5625</v>
      </c>
      <c r="H22" s="55">
        <v>0.3689064558629776</v>
      </c>
      <c r="I22" s="55">
        <v>0.75</v>
      </c>
      <c r="J22" s="55">
        <v>185.4375</v>
      </c>
      <c r="K22" s="56">
        <v>111</v>
      </c>
      <c r="L22" s="55">
        <v>1.6706081081081081</v>
      </c>
      <c r="M22" s="52" t="s">
        <v>85</v>
      </c>
      <c r="N22" s="52" t="s">
        <v>85</v>
      </c>
      <c r="O22" s="14">
        <v>23</v>
      </c>
      <c r="P22" s="71"/>
    </row>
    <row r="23" spans="1:16" s="80" customFormat="1" ht="13.8" x14ac:dyDescent="0.25">
      <c r="A23" s="57" t="s">
        <v>126</v>
      </c>
      <c r="B23" s="51" t="s">
        <v>127</v>
      </c>
      <c r="C23" s="75">
        <v>0.62922712053571428</v>
      </c>
      <c r="D23" s="52">
        <v>1924</v>
      </c>
      <c r="E23" s="53">
        <v>100</v>
      </c>
      <c r="F23" s="54">
        <v>460</v>
      </c>
      <c r="G23" s="55">
        <v>1134.5625</v>
      </c>
      <c r="H23" s="55">
        <v>0.3689064558629776</v>
      </c>
      <c r="I23" s="55">
        <v>0.75</v>
      </c>
      <c r="J23" s="55">
        <v>185.4375</v>
      </c>
      <c r="K23" s="56">
        <v>113</v>
      </c>
      <c r="L23" s="55">
        <v>1.6410398230088497</v>
      </c>
      <c r="M23" s="52" t="s">
        <v>85</v>
      </c>
      <c r="N23" s="52" t="s">
        <v>85</v>
      </c>
      <c r="O23" s="14">
        <v>20</v>
      </c>
      <c r="P23" s="71"/>
    </row>
    <row r="24" spans="1:16" s="80" customFormat="1" ht="13.8" x14ac:dyDescent="0.25">
      <c r="A24" s="57" t="s">
        <v>128</v>
      </c>
      <c r="B24" s="51" t="s">
        <v>129</v>
      </c>
      <c r="C24" s="75">
        <v>0.29994148575305291</v>
      </c>
      <c r="D24" s="52">
        <v>1924</v>
      </c>
      <c r="E24" s="53">
        <v>98</v>
      </c>
      <c r="F24" s="54">
        <v>385</v>
      </c>
      <c r="G24" s="55">
        <v>1140.0374999999999</v>
      </c>
      <c r="H24" s="55">
        <v>0.40606060606060607</v>
      </c>
      <c r="I24" s="55">
        <v>0.55000000000000004</v>
      </c>
      <c r="J24" s="55">
        <v>153.5625</v>
      </c>
      <c r="K24" s="56">
        <v>108</v>
      </c>
      <c r="L24" s="55">
        <v>1.421875</v>
      </c>
      <c r="M24" s="52" t="s">
        <v>85</v>
      </c>
      <c r="N24" s="52" t="s">
        <v>85</v>
      </c>
      <c r="O24" s="14">
        <v>21</v>
      </c>
      <c r="P24" s="71"/>
    </row>
    <row r="25" spans="1:16" s="80" customFormat="1" ht="13.8" x14ac:dyDescent="0.25">
      <c r="A25" s="57" t="s">
        <v>130</v>
      </c>
      <c r="B25" s="51" t="s">
        <v>131</v>
      </c>
      <c r="C25" s="75">
        <v>0.62922712053571428</v>
      </c>
      <c r="D25" s="52">
        <v>1924</v>
      </c>
      <c r="E25" s="53">
        <v>100</v>
      </c>
      <c r="F25" s="54">
        <v>460</v>
      </c>
      <c r="G25" s="55">
        <v>1134.5625</v>
      </c>
      <c r="H25" s="55">
        <v>0.3689064558629776</v>
      </c>
      <c r="I25" s="55">
        <v>0.75</v>
      </c>
      <c r="J25" s="55">
        <v>185.4375</v>
      </c>
      <c r="K25" s="56">
        <v>94</v>
      </c>
      <c r="L25" s="55">
        <v>1.9727393617021276</v>
      </c>
      <c r="M25" s="52" t="s">
        <v>85</v>
      </c>
      <c r="N25" s="52" t="s">
        <v>85</v>
      </c>
      <c r="O25" s="14">
        <v>24</v>
      </c>
      <c r="P25" s="71"/>
    </row>
    <row r="26" spans="1:16" s="80" customFormat="1" ht="13.8" x14ac:dyDescent="0.25">
      <c r="A26" s="57" t="s">
        <v>132</v>
      </c>
      <c r="B26" s="51" t="s">
        <v>133</v>
      </c>
      <c r="C26" s="75">
        <v>0.62922712053571428</v>
      </c>
      <c r="D26" s="52">
        <v>1924</v>
      </c>
      <c r="E26" s="53">
        <v>100</v>
      </c>
      <c r="F26" s="54">
        <v>460</v>
      </c>
      <c r="G26" s="55">
        <v>1134.5625</v>
      </c>
      <c r="H26" s="55">
        <v>0.3689064558629776</v>
      </c>
      <c r="I26" s="55">
        <v>0.75</v>
      </c>
      <c r="J26" s="55">
        <v>185.4375</v>
      </c>
      <c r="K26" s="56">
        <v>114</v>
      </c>
      <c r="L26" s="55">
        <v>1.6266447368421053</v>
      </c>
      <c r="M26" s="52" t="s">
        <v>85</v>
      </c>
      <c r="N26" s="52" t="s">
        <v>85</v>
      </c>
      <c r="O26" s="14">
        <v>24</v>
      </c>
      <c r="P26" s="71"/>
    </row>
    <row r="27" spans="1:16" s="80" customFormat="1" ht="13.8" x14ac:dyDescent="0.25">
      <c r="A27" s="57" t="s">
        <v>134</v>
      </c>
      <c r="B27" s="51" t="s">
        <v>135</v>
      </c>
      <c r="C27" s="75">
        <v>0.29994148575305291</v>
      </c>
      <c r="D27" s="52">
        <v>1924</v>
      </c>
      <c r="E27" s="53">
        <v>98</v>
      </c>
      <c r="F27" s="54">
        <v>385</v>
      </c>
      <c r="G27" s="55">
        <v>1140.0374999999999</v>
      </c>
      <c r="H27" s="55">
        <v>0.40606060606060607</v>
      </c>
      <c r="I27" s="55">
        <v>0.55000000000000004</v>
      </c>
      <c r="J27" s="55">
        <v>153.5625</v>
      </c>
      <c r="K27" s="56">
        <v>113</v>
      </c>
      <c r="L27" s="55">
        <v>1.3589601769911503</v>
      </c>
      <c r="M27" s="52" t="s">
        <v>85</v>
      </c>
      <c r="N27" s="52" t="s">
        <v>85</v>
      </c>
      <c r="O27" s="14">
        <v>20</v>
      </c>
      <c r="P27" s="71"/>
    </row>
    <row r="28" spans="1:16" s="80" customFormat="1" ht="13.8" x14ac:dyDescent="0.25">
      <c r="A28" s="57" t="s">
        <v>136</v>
      </c>
      <c r="B28" s="51" t="s">
        <v>137</v>
      </c>
      <c r="C28" s="75">
        <v>0.62922712053571428</v>
      </c>
      <c r="D28" s="52">
        <v>1924</v>
      </c>
      <c r="E28" s="53">
        <v>100</v>
      </c>
      <c r="F28" s="54">
        <v>460</v>
      </c>
      <c r="G28" s="55">
        <v>1134.5625</v>
      </c>
      <c r="H28" s="55">
        <v>0.3689064558629776</v>
      </c>
      <c r="I28" s="55">
        <v>0.75</v>
      </c>
      <c r="J28" s="55">
        <v>185.4375</v>
      </c>
      <c r="K28" s="56">
        <v>111</v>
      </c>
      <c r="L28" s="55">
        <v>1.6706081081081081</v>
      </c>
      <c r="M28" s="52" t="s">
        <v>85</v>
      </c>
      <c r="N28" s="52" t="s">
        <v>85</v>
      </c>
      <c r="O28" s="14">
        <v>23</v>
      </c>
      <c r="P28" s="71"/>
    </row>
    <row r="29" spans="1:16" s="80" customFormat="1" ht="13.8" x14ac:dyDescent="0.25">
      <c r="A29" s="57" t="s">
        <v>138</v>
      </c>
      <c r="B29" s="51" t="s">
        <v>139</v>
      </c>
      <c r="C29" s="75">
        <v>0.29994148575305291</v>
      </c>
      <c r="D29" s="52">
        <v>1924</v>
      </c>
      <c r="E29" s="53">
        <v>98</v>
      </c>
      <c r="F29" s="54">
        <v>385</v>
      </c>
      <c r="G29" s="55">
        <v>1140.0374999999999</v>
      </c>
      <c r="H29" s="55">
        <v>0.40606060606060607</v>
      </c>
      <c r="I29" s="55">
        <v>0.55000000000000004</v>
      </c>
      <c r="J29" s="55">
        <v>153.5625</v>
      </c>
      <c r="K29" s="56">
        <v>115</v>
      </c>
      <c r="L29" s="55">
        <v>1.3353260869565218</v>
      </c>
      <c r="M29" s="52" t="s">
        <v>85</v>
      </c>
      <c r="N29" s="52" t="s">
        <v>85</v>
      </c>
      <c r="O29" s="14">
        <v>21</v>
      </c>
      <c r="P29" s="71"/>
    </row>
    <row r="30" spans="1:16" s="80" customFormat="1" ht="13.8" x14ac:dyDescent="0.25">
      <c r="A30" s="57" t="s">
        <v>159</v>
      </c>
      <c r="B30" s="51" t="s">
        <v>160</v>
      </c>
      <c r="C30" s="75">
        <v>0.30140072838345866</v>
      </c>
      <c r="D30" s="52">
        <v>1924</v>
      </c>
      <c r="E30" s="53">
        <v>100</v>
      </c>
      <c r="F30" s="54">
        <v>404</v>
      </c>
      <c r="G30" s="55">
        <v>1158.3625</v>
      </c>
      <c r="H30" s="55">
        <v>0.39903990399039907</v>
      </c>
      <c r="I30" s="55">
        <v>0.55000000000000004</v>
      </c>
      <c r="J30" s="55">
        <v>161.63749999999999</v>
      </c>
      <c r="K30" s="56">
        <v>85</v>
      </c>
      <c r="L30" s="55">
        <v>1.9016176470588233</v>
      </c>
      <c r="M30" s="52" t="s">
        <v>85</v>
      </c>
      <c r="N30" s="52" t="s">
        <v>85</v>
      </c>
      <c r="O30" s="14">
        <v>20</v>
      </c>
      <c r="P30" s="71"/>
    </row>
    <row r="31" spans="1:16" s="80" customFormat="1" ht="13.8" x14ac:dyDescent="0.25">
      <c r="A31" s="57" t="s">
        <v>161</v>
      </c>
      <c r="B31" s="51" t="s">
        <v>162</v>
      </c>
      <c r="C31" s="75">
        <v>0.30140072838345866</v>
      </c>
      <c r="D31" s="52">
        <v>1924</v>
      </c>
      <c r="E31" s="53">
        <v>100</v>
      </c>
      <c r="F31" s="54">
        <v>404</v>
      </c>
      <c r="G31" s="55">
        <v>1158.3625</v>
      </c>
      <c r="H31" s="55">
        <v>0.39903990399039907</v>
      </c>
      <c r="I31" s="55">
        <v>0.55000000000000004</v>
      </c>
      <c r="J31" s="55">
        <v>161.63749999999999</v>
      </c>
      <c r="K31" s="56">
        <v>84</v>
      </c>
      <c r="L31" s="55">
        <v>1.9242559523809522</v>
      </c>
      <c r="M31" s="52" t="s">
        <v>85</v>
      </c>
      <c r="N31" s="52" t="s">
        <v>85</v>
      </c>
      <c r="O31" s="14">
        <v>20</v>
      </c>
      <c r="P31" s="71"/>
    </row>
    <row r="32" spans="1:16" s="80" customFormat="1" ht="13.8" x14ac:dyDescent="0.25">
      <c r="A32" s="57" t="s">
        <v>163</v>
      </c>
      <c r="B32" s="51" t="s">
        <v>164</v>
      </c>
      <c r="C32" s="75">
        <v>0.64069150587448653</v>
      </c>
      <c r="D32" s="52">
        <v>1924</v>
      </c>
      <c r="E32" s="53">
        <v>183</v>
      </c>
      <c r="F32" s="54">
        <v>886</v>
      </c>
      <c r="G32" s="55">
        <v>2061.1124999999997</v>
      </c>
      <c r="H32" s="55">
        <v>0.35806142691018544</v>
      </c>
      <c r="I32" s="55">
        <v>0.75</v>
      </c>
      <c r="J32" s="55">
        <v>354.48750000000001</v>
      </c>
      <c r="K32" s="56">
        <v>191</v>
      </c>
      <c r="L32" s="55">
        <v>1.855955497382199</v>
      </c>
      <c r="M32" s="52" t="s">
        <v>85</v>
      </c>
      <c r="N32" s="52" t="s">
        <v>85</v>
      </c>
      <c r="O32" s="14">
        <v>45</v>
      </c>
      <c r="P32" s="71"/>
    </row>
    <row r="33" spans="1:16" s="80" customFormat="1" ht="13.8" x14ac:dyDescent="0.25">
      <c r="A33" s="57" t="s">
        <v>165</v>
      </c>
      <c r="B33" s="51" t="s">
        <v>166</v>
      </c>
      <c r="C33" s="75">
        <v>0.30140072838345866</v>
      </c>
      <c r="D33" s="52">
        <v>1924</v>
      </c>
      <c r="E33" s="53">
        <v>100</v>
      </c>
      <c r="F33" s="54">
        <v>404</v>
      </c>
      <c r="G33" s="55">
        <v>1158.3625</v>
      </c>
      <c r="H33" s="55">
        <v>0.39903990399039907</v>
      </c>
      <c r="I33" s="55">
        <v>0.55000000000000004</v>
      </c>
      <c r="J33" s="55">
        <v>161.63749999999999</v>
      </c>
      <c r="K33" s="56">
        <v>88</v>
      </c>
      <c r="L33" s="55">
        <v>1.8367897727272726</v>
      </c>
      <c r="M33" s="52" t="s">
        <v>85</v>
      </c>
      <c r="N33" s="52" t="s">
        <v>85</v>
      </c>
      <c r="O33" s="14">
        <v>24</v>
      </c>
      <c r="P33" s="71"/>
    </row>
    <row r="34" spans="1:16" s="80" customFormat="1" ht="13.8" x14ac:dyDescent="0.25">
      <c r="A34" s="57" t="s">
        <v>167</v>
      </c>
      <c r="B34" s="51" t="s">
        <v>168</v>
      </c>
      <c r="C34" s="75">
        <v>0.30140072838345866</v>
      </c>
      <c r="D34" s="52">
        <v>1924</v>
      </c>
      <c r="E34" s="53">
        <v>100</v>
      </c>
      <c r="F34" s="54">
        <v>404</v>
      </c>
      <c r="G34" s="55">
        <v>1158.3625</v>
      </c>
      <c r="H34" s="55">
        <v>0.39903990399039907</v>
      </c>
      <c r="I34" s="55">
        <v>0.55000000000000004</v>
      </c>
      <c r="J34" s="55">
        <v>161.63749999999999</v>
      </c>
      <c r="K34" s="56">
        <v>84</v>
      </c>
      <c r="L34" s="55">
        <v>1.9242559523809522</v>
      </c>
      <c r="M34" s="52" t="s">
        <v>85</v>
      </c>
      <c r="N34" s="52" t="s">
        <v>85</v>
      </c>
      <c r="O34" s="14">
        <v>22</v>
      </c>
      <c r="P34" s="71"/>
    </row>
    <row r="35" spans="1:16" s="80" customFormat="1" ht="13.8" x14ac:dyDescent="0.25">
      <c r="A35" s="57" t="s">
        <v>169</v>
      </c>
      <c r="B35" s="51" t="s">
        <v>170</v>
      </c>
      <c r="C35" s="75">
        <v>0.30140072838345866</v>
      </c>
      <c r="D35" s="52">
        <v>1924</v>
      </c>
      <c r="E35" s="53">
        <v>100</v>
      </c>
      <c r="F35" s="54">
        <v>404</v>
      </c>
      <c r="G35" s="55">
        <v>1158.3625</v>
      </c>
      <c r="H35" s="55">
        <v>0.39903990399039907</v>
      </c>
      <c r="I35" s="55">
        <v>0.55000000000000004</v>
      </c>
      <c r="J35" s="55">
        <v>161.63749999999999</v>
      </c>
      <c r="K35" s="56">
        <v>86</v>
      </c>
      <c r="L35" s="55">
        <v>1.8795058139534881</v>
      </c>
      <c r="M35" s="52" t="s">
        <v>85</v>
      </c>
      <c r="N35" s="52" t="s">
        <v>85</v>
      </c>
      <c r="O35" s="14">
        <v>22</v>
      </c>
      <c r="P35" s="71"/>
    </row>
    <row r="36" spans="1:16" s="80" customFormat="1" ht="13.8" x14ac:dyDescent="0.25">
      <c r="A36" s="57" t="s">
        <v>171</v>
      </c>
      <c r="B36" s="51" t="s">
        <v>172</v>
      </c>
      <c r="C36" s="75">
        <v>0.30140072838345866</v>
      </c>
      <c r="D36" s="52">
        <v>1924</v>
      </c>
      <c r="E36" s="53">
        <v>100</v>
      </c>
      <c r="F36" s="54">
        <v>404</v>
      </c>
      <c r="G36" s="55">
        <v>1158.3625</v>
      </c>
      <c r="H36" s="55">
        <v>0.39903990399039907</v>
      </c>
      <c r="I36" s="55">
        <v>0.55000000000000004</v>
      </c>
      <c r="J36" s="55">
        <v>161.63749999999999</v>
      </c>
      <c r="K36" s="56">
        <v>83</v>
      </c>
      <c r="L36" s="55">
        <v>1.9474397590361445</v>
      </c>
      <c r="M36" s="52" t="s">
        <v>85</v>
      </c>
      <c r="N36" s="52" t="s">
        <v>85</v>
      </c>
      <c r="O36" s="14">
        <v>24</v>
      </c>
      <c r="P36" s="71"/>
    </row>
    <row r="37" spans="1:16" s="80" customFormat="1" ht="13.8" x14ac:dyDescent="0.25">
      <c r="A37" s="57" t="s">
        <v>173</v>
      </c>
      <c r="B37" s="51" t="s">
        <v>174</v>
      </c>
      <c r="C37" s="75">
        <v>0.30140072838345866</v>
      </c>
      <c r="D37" s="52">
        <v>1924</v>
      </c>
      <c r="E37" s="53">
        <v>100</v>
      </c>
      <c r="F37" s="54">
        <v>404</v>
      </c>
      <c r="G37" s="55">
        <v>1158.3625</v>
      </c>
      <c r="H37" s="55">
        <v>0.39903990399039907</v>
      </c>
      <c r="I37" s="55">
        <v>0.55000000000000004</v>
      </c>
      <c r="J37" s="55">
        <v>161.63749999999999</v>
      </c>
      <c r="K37" s="56">
        <v>87</v>
      </c>
      <c r="L37" s="55">
        <v>1.8579022988505747</v>
      </c>
      <c r="M37" s="52" t="s">
        <v>85</v>
      </c>
      <c r="N37" s="52" t="s">
        <v>85</v>
      </c>
      <c r="O37" s="14">
        <v>19</v>
      </c>
      <c r="P37" s="71"/>
    </row>
    <row r="38" spans="1:16" s="80" customFormat="1" ht="13.8" x14ac:dyDescent="0.25">
      <c r="A38" s="59" t="s">
        <v>175</v>
      </c>
      <c r="B38" s="51" t="s">
        <v>176</v>
      </c>
      <c r="C38" s="75">
        <v>0.60353183149552037</v>
      </c>
      <c r="D38" s="52">
        <v>1925</v>
      </c>
      <c r="E38" s="53">
        <v>270</v>
      </c>
      <c r="F38" s="60">
        <v>1120</v>
      </c>
      <c r="G38" s="55">
        <v>3122.0625</v>
      </c>
      <c r="H38" s="55">
        <v>0.39258658008658009</v>
      </c>
      <c r="I38" s="55">
        <v>0.75</v>
      </c>
      <c r="J38" s="55">
        <v>441.9375</v>
      </c>
      <c r="K38" s="56">
        <v>289</v>
      </c>
      <c r="L38" s="55">
        <v>1.5291955017301038</v>
      </c>
      <c r="M38" s="52" t="s">
        <v>85</v>
      </c>
      <c r="N38" s="52" t="s">
        <v>85</v>
      </c>
      <c r="O38" s="14">
        <v>57</v>
      </c>
      <c r="P38" s="71"/>
    </row>
    <row r="39" spans="1:16" s="80" customFormat="1" ht="13.8" x14ac:dyDescent="0.25">
      <c r="A39" s="59" t="s">
        <v>177</v>
      </c>
      <c r="B39" s="51" t="s">
        <v>178</v>
      </c>
      <c r="C39" s="75">
        <v>0.29163166173205035</v>
      </c>
      <c r="D39" s="52">
        <v>1925</v>
      </c>
      <c r="E39" s="53">
        <v>135</v>
      </c>
      <c r="F39" s="60">
        <v>460</v>
      </c>
      <c r="G39" s="55">
        <v>1604.5625</v>
      </c>
      <c r="H39" s="55">
        <v>0.44499341238471674</v>
      </c>
      <c r="I39" s="55">
        <v>0.55000000000000004</v>
      </c>
      <c r="J39" s="55">
        <v>177.4375</v>
      </c>
      <c r="K39" s="56">
        <v>127</v>
      </c>
      <c r="L39" s="55">
        <v>1.3971456692913387</v>
      </c>
      <c r="M39" s="52" t="s">
        <v>85</v>
      </c>
      <c r="N39" s="52" t="s">
        <v>85</v>
      </c>
      <c r="O39" s="14">
        <v>26</v>
      </c>
      <c r="P39" s="71"/>
    </row>
    <row r="40" spans="1:16" s="80" customFormat="1" ht="13.8" x14ac:dyDescent="0.25">
      <c r="A40" s="59" t="s">
        <v>179</v>
      </c>
      <c r="B40" s="51" t="s">
        <v>180</v>
      </c>
      <c r="C40" s="75">
        <v>0.29163166173205035</v>
      </c>
      <c r="D40" s="52">
        <v>1925</v>
      </c>
      <c r="E40" s="53">
        <v>135</v>
      </c>
      <c r="F40" s="60">
        <v>460</v>
      </c>
      <c r="G40" s="55">
        <v>1604.5625</v>
      </c>
      <c r="H40" s="55">
        <v>0.44499341238471674</v>
      </c>
      <c r="I40" s="55">
        <v>0.55000000000000004</v>
      </c>
      <c r="J40" s="55">
        <v>177.4375</v>
      </c>
      <c r="K40" s="56">
        <v>173</v>
      </c>
      <c r="L40" s="55">
        <v>1.0256502890173411</v>
      </c>
      <c r="M40" s="52" t="s">
        <v>85</v>
      </c>
      <c r="N40" s="52" t="s">
        <v>85</v>
      </c>
      <c r="O40" s="14">
        <v>28</v>
      </c>
      <c r="P40" s="71"/>
    </row>
    <row r="41" spans="1:16" s="80" customFormat="1" ht="13.8" x14ac:dyDescent="0.25">
      <c r="A41" s="59" t="s">
        <v>181</v>
      </c>
      <c r="B41" s="51" t="s">
        <v>182</v>
      </c>
      <c r="C41" s="75">
        <v>0.2892736246672582</v>
      </c>
      <c r="D41" s="52">
        <v>1925</v>
      </c>
      <c r="E41" s="53">
        <v>115</v>
      </c>
      <c r="F41" s="60">
        <v>368</v>
      </c>
      <c r="G41" s="55">
        <v>1375.6624999999999</v>
      </c>
      <c r="H41" s="55">
        <v>0.46401515151515155</v>
      </c>
      <c r="I41" s="55">
        <v>0.55000000000000004</v>
      </c>
      <c r="J41" s="55">
        <v>142.33750000000001</v>
      </c>
      <c r="K41" s="56">
        <v>101</v>
      </c>
      <c r="L41" s="55">
        <v>1.4092821782178218</v>
      </c>
      <c r="M41" s="52" t="s">
        <v>85</v>
      </c>
      <c r="N41" s="52" t="s">
        <v>85</v>
      </c>
      <c r="O41" s="14">
        <v>20</v>
      </c>
      <c r="P41" s="71"/>
    </row>
    <row r="42" spans="1:16" s="80" customFormat="1" ht="13.8" x14ac:dyDescent="0.25">
      <c r="A42" s="59" t="s">
        <v>185</v>
      </c>
      <c r="B42" s="51" t="s">
        <v>186</v>
      </c>
      <c r="C42" s="75">
        <v>0.2953033334730138</v>
      </c>
      <c r="D42" s="52">
        <v>1925</v>
      </c>
      <c r="E42" s="53">
        <v>234</v>
      </c>
      <c r="F42" s="60">
        <v>842</v>
      </c>
      <c r="G42" s="55">
        <v>2757.0124999999998</v>
      </c>
      <c r="H42" s="55">
        <v>0.42942489023249114</v>
      </c>
      <c r="I42" s="55">
        <v>0.55000000000000004</v>
      </c>
      <c r="J42" s="55">
        <v>331.78750000000002</v>
      </c>
      <c r="K42" s="58">
        <v>237</v>
      </c>
      <c r="L42" s="55">
        <v>1.3999472573839664</v>
      </c>
      <c r="M42" s="52" t="s">
        <v>85</v>
      </c>
      <c r="N42" s="52" t="s">
        <v>85</v>
      </c>
      <c r="O42" s="14">
        <v>42</v>
      </c>
      <c r="P42" s="71"/>
    </row>
    <row r="43" spans="1:16" s="80" customFormat="1" ht="13.8" x14ac:dyDescent="0.25">
      <c r="A43" s="59" t="s">
        <v>187</v>
      </c>
      <c r="B43" s="51" t="s">
        <v>188</v>
      </c>
      <c r="C43" s="75">
        <v>0.54067008085029067</v>
      </c>
      <c r="D43" s="52">
        <v>1925</v>
      </c>
      <c r="E43" s="53">
        <v>113</v>
      </c>
      <c r="F43" s="60">
        <v>355</v>
      </c>
      <c r="G43" s="55">
        <v>1354.7874999999999</v>
      </c>
      <c r="H43" s="55">
        <v>0.46982501067008109</v>
      </c>
      <c r="I43" s="55">
        <v>0.55000000000000004</v>
      </c>
      <c r="J43" s="55">
        <v>136.8125</v>
      </c>
      <c r="K43" s="56">
        <v>98</v>
      </c>
      <c r="L43" s="55">
        <v>1.396045918367347</v>
      </c>
      <c r="M43" s="52" t="s">
        <v>85</v>
      </c>
      <c r="N43" s="52" t="s">
        <v>85</v>
      </c>
      <c r="O43" s="14">
        <v>20</v>
      </c>
      <c r="P43" s="71"/>
    </row>
    <row r="44" spans="1:16" s="80" customFormat="1" ht="13.8" x14ac:dyDescent="0.25">
      <c r="A44" s="59" t="s">
        <v>189</v>
      </c>
      <c r="B44" s="51" t="s">
        <v>190</v>
      </c>
      <c r="C44" s="75">
        <v>0.29895890218438809</v>
      </c>
      <c r="D44" s="52">
        <v>1925</v>
      </c>
      <c r="E44" s="53">
        <v>117</v>
      </c>
      <c r="F44" s="60">
        <v>473</v>
      </c>
      <c r="G44" s="55">
        <v>1361.4374999999998</v>
      </c>
      <c r="H44" s="55">
        <v>0.39887244538407329</v>
      </c>
      <c r="I44" s="55">
        <v>0.55000000000000004</v>
      </c>
      <c r="J44" s="55">
        <v>182.96250000000001</v>
      </c>
      <c r="K44" s="56">
        <v>130</v>
      </c>
      <c r="L44" s="55">
        <v>1.4074038461538463</v>
      </c>
      <c r="M44" s="52" t="s">
        <v>85</v>
      </c>
      <c r="N44" s="52" t="s">
        <v>85</v>
      </c>
      <c r="O44" s="14">
        <v>26</v>
      </c>
      <c r="P44" s="71"/>
    </row>
    <row r="45" spans="1:16" s="80" customFormat="1" ht="13.8" x14ac:dyDescent="0.25">
      <c r="A45" s="59" t="s">
        <v>191</v>
      </c>
      <c r="B45" s="51" t="s">
        <v>192</v>
      </c>
      <c r="C45" s="75">
        <v>0.60438965902928421</v>
      </c>
      <c r="D45" s="52">
        <v>1925</v>
      </c>
      <c r="E45" s="53">
        <v>137</v>
      </c>
      <c r="F45" s="60">
        <v>571</v>
      </c>
      <c r="G45" s="55">
        <v>1583.7874999999999</v>
      </c>
      <c r="H45" s="55">
        <v>0.39144509897574692</v>
      </c>
      <c r="I45" s="55">
        <v>0.75</v>
      </c>
      <c r="J45" s="55">
        <v>224.61250000000001</v>
      </c>
      <c r="K45" s="56">
        <v>158</v>
      </c>
      <c r="L45" s="55">
        <v>1.4215981012658228</v>
      </c>
      <c r="M45" s="52" t="s">
        <v>85</v>
      </c>
      <c r="N45" s="52" t="s">
        <v>85</v>
      </c>
      <c r="O45" s="14">
        <v>28</v>
      </c>
      <c r="P45" s="71"/>
    </row>
    <row r="46" spans="1:16" s="80" customFormat="1" ht="13.8" x14ac:dyDescent="0.25">
      <c r="A46" s="61" t="s">
        <v>193</v>
      </c>
      <c r="B46" s="51" t="s">
        <v>194</v>
      </c>
      <c r="C46" s="75">
        <v>0.60536506097560971</v>
      </c>
      <c r="D46" s="52">
        <v>1926</v>
      </c>
      <c r="E46" s="53">
        <v>190</v>
      </c>
      <c r="F46" s="60">
        <v>796</v>
      </c>
      <c r="G46" s="55">
        <v>2195.7624999999998</v>
      </c>
      <c r="H46" s="55">
        <v>0.390208618851835</v>
      </c>
      <c r="I46" s="55">
        <v>0.75</v>
      </c>
      <c r="J46" s="55">
        <v>312.23750000000001</v>
      </c>
      <c r="K46" s="56">
        <v>208</v>
      </c>
      <c r="L46" s="55">
        <v>1.501141826923077</v>
      </c>
      <c r="M46" s="52" t="s">
        <v>85</v>
      </c>
      <c r="N46" s="52" t="s">
        <v>85</v>
      </c>
      <c r="O46" s="14">
        <v>40</v>
      </c>
      <c r="P46" s="71"/>
    </row>
    <row r="47" spans="1:16" s="80" customFormat="1" ht="13.8" x14ac:dyDescent="0.25">
      <c r="A47" s="61" t="s">
        <v>195</v>
      </c>
      <c r="B47" s="51" t="s">
        <v>196</v>
      </c>
      <c r="C47" s="75">
        <v>0.62398003309604089</v>
      </c>
      <c r="D47" s="52">
        <v>1926</v>
      </c>
      <c r="E47" s="53">
        <v>144</v>
      </c>
      <c r="F47" s="60">
        <v>651</v>
      </c>
      <c r="G47" s="55">
        <v>1642.1875</v>
      </c>
      <c r="H47" s="55">
        <v>0.37271330819717924</v>
      </c>
      <c r="I47" s="55">
        <v>0.75</v>
      </c>
      <c r="J47" s="55">
        <v>258.61250000000001</v>
      </c>
      <c r="K47" s="56">
        <v>180</v>
      </c>
      <c r="L47" s="55">
        <v>1.4367361111111112</v>
      </c>
      <c r="M47" s="52" t="s">
        <v>85</v>
      </c>
      <c r="N47" s="52" t="s">
        <v>85</v>
      </c>
      <c r="O47" s="14">
        <v>28</v>
      </c>
      <c r="P47" s="71"/>
    </row>
    <row r="48" spans="1:16" s="80" customFormat="1" ht="13.8" x14ac:dyDescent="0.25">
      <c r="A48" s="61" t="s">
        <v>209</v>
      </c>
      <c r="B48" s="51" t="s">
        <v>210</v>
      </c>
      <c r="C48" s="75">
        <v>0.6042407262707683</v>
      </c>
      <c r="D48" s="52">
        <v>1941</v>
      </c>
      <c r="E48" s="53">
        <v>113</v>
      </c>
      <c r="F48" s="60">
        <v>470</v>
      </c>
      <c r="G48" s="55">
        <v>1305.9124999999999</v>
      </c>
      <c r="H48" s="55">
        <v>0.39194068343004512</v>
      </c>
      <c r="I48" s="55">
        <v>0.75</v>
      </c>
      <c r="J48" s="55">
        <v>185.6875</v>
      </c>
      <c r="K48" s="56">
        <v>130</v>
      </c>
      <c r="L48" s="55">
        <v>1.4283653846153845</v>
      </c>
      <c r="M48" s="52" t="s">
        <v>85</v>
      </c>
      <c r="N48" s="52" t="s">
        <v>85</v>
      </c>
      <c r="O48" s="14">
        <v>24</v>
      </c>
      <c r="P48" s="71"/>
    </row>
    <row r="49" spans="1:16" s="80" customFormat="1" ht="13.8" x14ac:dyDescent="0.25">
      <c r="A49" s="61" t="s">
        <v>211</v>
      </c>
      <c r="B49" s="51" t="s">
        <v>212</v>
      </c>
      <c r="C49" s="75">
        <v>0.60683696648882957</v>
      </c>
      <c r="D49" s="52">
        <v>1941</v>
      </c>
      <c r="E49" s="53">
        <v>111</v>
      </c>
      <c r="F49" s="60">
        <v>467</v>
      </c>
      <c r="G49" s="55">
        <v>1280.7874999999999</v>
      </c>
      <c r="H49" s="55">
        <v>0.38920251768217506</v>
      </c>
      <c r="I49" s="55">
        <v>0.75</v>
      </c>
      <c r="J49" s="55">
        <v>184.41249999999999</v>
      </c>
      <c r="K49" s="56">
        <v>129</v>
      </c>
      <c r="L49" s="55">
        <v>1.4295542635658913</v>
      </c>
      <c r="M49" s="52" t="s">
        <v>85</v>
      </c>
      <c r="N49" s="52" t="s">
        <v>85</v>
      </c>
      <c r="O49" s="14">
        <v>29</v>
      </c>
      <c r="P49" s="71"/>
    </row>
    <row r="50" spans="1:16" s="80" customFormat="1" ht="13.8" x14ac:dyDescent="0.25">
      <c r="A50" s="61" t="s">
        <v>213</v>
      </c>
      <c r="B50" s="51" t="s">
        <v>214</v>
      </c>
      <c r="C50" s="75">
        <v>0.2963935871384174</v>
      </c>
      <c r="D50" s="52">
        <v>1941</v>
      </c>
      <c r="E50" s="53">
        <v>81</v>
      </c>
      <c r="F50" s="60">
        <v>302</v>
      </c>
      <c r="G50" s="55">
        <v>950.91250000000002</v>
      </c>
      <c r="H50" s="55">
        <v>0.41972707204495291</v>
      </c>
      <c r="I50" s="55">
        <v>0.55000000000000004</v>
      </c>
      <c r="J50" s="55">
        <v>118.28749999999999</v>
      </c>
      <c r="K50" s="58">
        <v>78</v>
      </c>
      <c r="L50" s="55">
        <v>1.5165064102564101</v>
      </c>
      <c r="M50" s="52" t="s">
        <v>85</v>
      </c>
      <c r="N50" s="52" t="s">
        <v>85</v>
      </c>
      <c r="O50" s="14">
        <v>21</v>
      </c>
      <c r="P50" s="71"/>
    </row>
    <row r="51" spans="1:16" s="80" customFormat="1" ht="13.8" x14ac:dyDescent="0.25">
      <c r="A51" s="61" t="s">
        <v>215</v>
      </c>
      <c r="B51" s="51" t="s">
        <v>216</v>
      </c>
      <c r="C51" s="75">
        <v>0.52993938062815726</v>
      </c>
      <c r="D51" s="52">
        <v>1941</v>
      </c>
      <c r="E51" s="53">
        <v>97</v>
      </c>
      <c r="F51" s="60">
        <v>338</v>
      </c>
      <c r="G51" s="55">
        <v>1438</v>
      </c>
      <c r="H51" s="55">
        <v>0.4081943697328313</v>
      </c>
      <c r="I51" s="55">
        <v>0.55000000000000004</v>
      </c>
      <c r="J51" s="55">
        <v>162.5</v>
      </c>
      <c r="K51" s="56">
        <v>108</v>
      </c>
      <c r="L51" s="55">
        <v>1.5046296296296295</v>
      </c>
      <c r="M51" s="52" t="s">
        <v>85</v>
      </c>
      <c r="N51" s="52" t="s">
        <v>85</v>
      </c>
      <c r="O51" s="14">
        <v>24</v>
      </c>
      <c r="P51" s="71"/>
    </row>
    <row r="52" spans="1:16" s="80" customFormat="1" ht="13.8" x14ac:dyDescent="0.25">
      <c r="A52" s="61" t="s">
        <v>217</v>
      </c>
      <c r="B52" s="51" t="s">
        <v>218</v>
      </c>
      <c r="C52" s="75">
        <v>0.61601507404795475</v>
      </c>
      <c r="D52" s="52">
        <v>1941</v>
      </c>
      <c r="E52" s="53">
        <v>130</v>
      </c>
      <c r="F52" s="60">
        <v>560</v>
      </c>
      <c r="G52" s="55">
        <v>1484.0625</v>
      </c>
      <c r="H52" s="55">
        <v>0.38365800865800864</v>
      </c>
      <c r="I52" s="55">
        <v>0.75</v>
      </c>
      <c r="J52" s="55">
        <v>231.9375</v>
      </c>
      <c r="K52" s="56">
        <v>154</v>
      </c>
      <c r="L52" s="55">
        <v>1.5060876623376624</v>
      </c>
      <c r="M52" s="52" t="s">
        <v>85</v>
      </c>
      <c r="N52" s="52" t="s">
        <v>85</v>
      </c>
      <c r="O52" s="14">
        <v>24</v>
      </c>
      <c r="P52" s="71"/>
    </row>
    <row r="53" spans="1:16" s="80" customFormat="1" ht="13.8" x14ac:dyDescent="0.25">
      <c r="A53" s="61" t="s">
        <v>219</v>
      </c>
      <c r="B53" s="51" t="s">
        <v>220</v>
      </c>
      <c r="C53" s="75">
        <v>0.62216591213950367</v>
      </c>
      <c r="D53" s="52">
        <v>1941</v>
      </c>
      <c r="E53" s="53">
        <v>135</v>
      </c>
      <c r="F53" s="60">
        <v>600</v>
      </c>
      <c r="G53" s="55">
        <v>1537.0625</v>
      </c>
      <c r="H53" s="55">
        <v>0.37651515151515152</v>
      </c>
      <c r="I53" s="55">
        <v>0.75</v>
      </c>
      <c r="J53" s="55">
        <v>244.9375</v>
      </c>
      <c r="K53" s="56">
        <v>162</v>
      </c>
      <c r="L53" s="55">
        <v>1.5119598765432098</v>
      </c>
      <c r="M53" s="52" t="s">
        <v>85</v>
      </c>
      <c r="N53" s="52" t="s">
        <v>85</v>
      </c>
      <c r="O53" s="14">
        <v>24</v>
      </c>
      <c r="P53" s="71"/>
    </row>
    <row r="54" spans="1:16" s="80" customFormat="1" ht="13.8" x14ac:dyDescent="0.25">
      <c r="A54" s="61" t="s">
        <v>221</v>
      </c>
      <c r="B54" s="51" t="s">
        <v>222</v>
      </c>
      <c r="C54" s="75">
        <v>0.29700228386809269</v>
      </c>
      <c r="D54" s="52">
        <v>1941</v>
      </c>
      <c r="E54" s="53">
        <v>43</v>
      </c>
      <c r="F54" s="60">
        <v>165</v>
      </c>
      <c r="G54" s="55">
        <v>503.53750000000002</v>
      </c>
      <c r="H54" s="55">
        <v>0.41212121212121211</v>
      </c>
      <c r="I54" s="55">
        <v>0.55000000000000004</v>
      </c>
      <c r="J54" s="55">
        <v>64.0625</v>
      </c>
      <c r="K54" s="56">
        <v>42</v>
      </c>
      <c r="L54" s="55">
        <v>1.5252976190476191</v>
      </c>
      <c r="M54" s="52" t="s">
        <v>85</v>
      </c>
      <c r="N54" s="52" t="s">
        <v>85</v>
      </c>
      <c r="O54" s="14">
        <v>42</v>
      </c>
      <c r="P54" s="71"/>
    </row>
    <row r="55" spans="1:16" s="80" customFormat="1" ht="13.8" x14ac:dyDescent="0.25">
      <c r="A55" s="63" t="s">
        <v>303</v>
      </c>
      <c r="B55" s="51" t="s">
        <v>304</v>
      </c>
      <c r="C55" s="75">
        <v>0.30255246400885938</v>
      </c>
      <c r="D55" s="52">
        <v>1927</v>
      </c>
      <c r="E55" s="53">
        <v>85</v>
      </c>
      <c r="F55" s="54">
        <v>342</v>
      </c>
      <c r="G55" s="55">
        <v>982.71249999999998</v>
      </c>
      <c r="H55" s="55">
        <v>0.40005316321105799</v>
      </c>
      <c r="I55" s="55">
        <v>0.55000000000000004</v>
      </c>
      <c r="J55" s="55">
        <v>139.28749999999999</v>
      </c>
      <c r="K55" s="56">
        <v>89</v>
      </c>
      <c r="L55" s="55">
        <v>1.5650280898876403</v>
      </c>
      <c r="M55" s="52" t="s">
        <v>85</v>
      </c>
      <c r="N55" s="52" t="s">
        <v>85</v>
      </c>
      <c r="O55" s="14">
        <v>12</v>
      </c>
      <c r="P55" s="71"/>
    </row>
    <row r="56" spans="1:16" s="80" customFormat="1" ht="13.8" x14ac:dyDescent="0.25">
      <c r="A56" s="50">
        <v>171</v>
      </c>
      <c r="B56" s="51" t="s">
        <v>386</v>
      </c>
      <c r="C56" s="75">
        <v>0.52069053339740512</v>
      </c>
      <c r="D56" s="52">
        <v>1938</v>
      </c>
      <c r="E56" s="53">
        <v>90</v>
      </c>
      <c r="F56" s="54">
        <v>298</v>
      </c>
      <c r="G56" s="55">
        <v>1338.75</v>
      </c>
      <c r="H56" s="55">
        <v>0.42322554403091317</v>
      </c>
      <c r="I56" s="55">
        <v>0.55000000000000004</v>
      </c>
      <c r="J56" s="55">
        <v>146.25</v>
      </c>
      <c r="K56" s="56">
        <v>120</v>
      </c>
      <c r="L56" s="55">
        <v>1.21875</v>
      </c>
      <c r="M56" s="52" t="s">
        <v>85</v>
      </c>
      <c r="N56" s="52" t="s">
        <v>85</v>
      </c>
      <c r="O56" s="14">
        <v>20</v>
      </c>
      <c r="P56" s="71"/>
    </row>
    <row r="57" spans="1:16" s="80" customFormat="1" ht="13.8" x14ac:dyDescent="0.25">
      <c r="A57" s="50">
        <v>172</v>
      </c>
      <c r="B57" s="51" t="s">
        <v>387</v>
      </c>
      <c r="C57" s="75">
        <v>0.55693833780160851</v>
      </c>
      <c r="D57" s="52">
        <v>1942</v>
      </c>
      <c r="E57" s="53">
        <v>115</v>
      </c>
      <c r="F57" s="54">
        <v>450</v>
      </c>
      <c r="G57" s="55">
        <v>1675.5</v>
      </c>
      <c r="H57" s="55">
        <v>0.37676767676767675</v>
      </c>
      <c r="I57" s="55">
        <v>0.75</v>
      </c>
      <c r="J57" s="55">
        <v>222</v>
      </c>
      <c r="K57" s="56">
        <v>154</v>
      </c>
      <c r="L57" s="55">
        <v>1.4415584415584415</v>
      </c>
      <c r="M57" s="52" t="s">
        <v>85</v>
      </c>
      <c r="N57" s="52" t="s">
        <v>85</v>
      </c>
      <c r="O57" s="14">
        <v>31</v>
      </c>
      <c r="P57" s="71"/>
    </row>
    <row r="58" spans="1:16" s="80" customFormat="1" ht="13.8" x14ac:dyDescent="0.25">
      <c r="A58" s="50">
        <v>173</v>
      </c>
      <c r="B58" s="51" t="s">
        <v>388</v>
      </c>
      <c r="C58" s="75">
        <v>0.49787809079854078</v>
      </c>
      <c r="D58" s="52">
        <v>1942</v>
      </c>
      <c r="E58" s="53">
        <v>55</v>
      </c>
      <c r="F58" s="54">
        <v>163</v>
      </c>
      <c r="G58" s="55">
        <v>827.96875</v>
      </c>
      <c r="H58" s="55">
        <v>0.45863543409555679</v>
      </c>
      <c r="I58" s="55">
        <v>0.55000000000000004</v>
      </c>
      <c r="J58" s="55">
        <v>79.53125</v>
      </c>
      <c r="K58" s="56">
        <v>60</v>
      </c>
      <c r="L58" s="55">
        <v>1.3255208333333333</v>
      </c>
      <c r="M58" s="52" t="s">
        <v>85</v>
      </c>
      <c r="N58" s="52" t="s">
        <v>85</v>
      </c>
      <c r="O58" s="14">
        <v>10</v>
      </c>
      <c r="P58" s="71"/>
    </row>
    <row r="59" spans="1:16" s="80" customFormat="1" ht="13.8" x14ac:dyDescent="0.25">
      <c r="A59" s="50">
        <v>174</v>
      </c>
      <c r="B59" s="51" t="s">
        <v>389</v>
      </c>
      <c r="C59" s="75">
        <v>0.52737320872274152</v>
      </c>
      <c r="D59" s="52">
        <v>1942</v>
      </c>
      <c r="E59" s="53">
        <v>103</v>
      </c>
      <c r="F59" s="54">
        <v>354</v>
      </c>
      <c r="G59" s="55">
        <v>1528.5</v>
      </c>
      <c r="H59" s="55">
        <v>0.41217257318952233</v>
      </c>
      <c r="I59" s="55">
        <v>0.55000000000000004</v>
      </c>
      <c r="J59" s="55">
        <v>171</v>
      </c>
      <c r="K59" s="56">
        <v>133</v>
      </c>
      <c r="L59" s="55">
        <v>1.2857142857142858</v>
      </c>
      <c r="M59" s="52" t="s">
        <v>85</v>
      </c>
      <c r="N59" s="52" t="s">
        <v>85</v>
      </c>
      <c r="O59" s="14">
        <v>30</v>
      </c>
      <c r="P59" s="71"/>
    </row>
    <row r="60" spans="1:16" s="80" customFormat="1" ht="13.8" x14ac:dyDescent="0.25">
      <c r="A60" s="50">
        <v>175</v>
      </c>
      <c r="B60" s="51" t="s">
        <v>390</v>
      </c>
      <c r="C60" s="75">
        <v>0.50816050106014954</v>
      </c>
      <c r="D60" s="52">
        <v>1942</v>
      </c>
      <c r="E60" s="53">
        <v>197</v>
      </c>
      <c r="F60" s="54">
        <v>615</v>
      </c>
      <c r="G60" s="55">
        <v>2950.84375</v>
      </c>
      <c r="H60" s="55">
        <v>0.44153732446415372</v>
      </c>
      <c r="I60" s="55">
        <v>0.55000000000000004</v>
      </c>
      <c r="J60" s="55">
        <v>299.65625</v>
      </c>
      <c r="K60" s="56">
        <v>212</v>
      </c>
      <c r="L60" s="55">
        <v>1.4134728773584906</v>
      </c>
      <c r="M60" s="52" t="s">
        <v>85</v>
      </c>
      <c r="N60" s="52" t="s">
        <v>85</v>
      </c>
      <c r="O60" s="14">
        <v>50</v>
      </c>
      <c r="P60" s="71"/>
    </row>
    <row r="61" spans="1:16" s="80" customFormat="1" ht="13.8" x14ac:dyDescent="0.25">
      <c r="A61" s="50">
        <v>176</v>
      </c>
      <c r="B61" s="51" t="s">
        <v>391</v>
      </c>
      <c r="C61" s="75">
        <v>0.53116489988221438</v>
      </c>
      <c r="D61" s="52">
        <v>1942</v>
      </c>
      <c r="E61" s="53">
        <v>398</v>
      </c>
      <c r="F61" s="54">
        <v>1386</v>
      </c>
      <c r="G61" s="55">
        <v>5887.75</v>
      </c>
      <c r="H61" s="55">
        <v>0.40836940836940838</v>
      </c>
      <c r="I61" s="55">
        <v>0.55000000000000004</v>
      </c>
      <c r="J61" s="55">
        <v>679.25</v>
      </c>
      <c r="K61" s="56">
        <v>482</v>
      </c>
      <c r="L61" s="55">
        <v>1.4092323651452283</v>
      </c>
      <c r="M61" s="52" t="s">
        <v>85</v>
      </c>
      <c r="N61" s="52" t="s">
        <v>85</v>
      </c>
      <c r="O61" s="14">
        <v>114</v>
      </c>
      <c r="P61" s="71"/>
    </row>
    <row r="62" spans="1:16" s="80" customFormat="1" ht="13.8" x14ac:dyDescent="0.25">
      <c r="A62" s="50">
        <v>177</v>
      </c>
      <c r="B62" s="51" t="s">
        <v>392</v>
      </c>
      <c r="C62" s="75">
        <v>0.55693833780160851</v>
      </c>
      <c r="D62" s="52">
        <v>1942</v>
      </c>
      <c r="E62" s="53">
        <v>115</v>
      </c>
      <c r="F62" s="54">
        <v>450</v>
      </c>
      <c r="G62" s="55">
        <v>1675.5</v>
      </c>
      <c r="H62" s="55">
        <v>0.37676767676767675</v>
      </c>
      <c r="I62" s="55">
        <v>0.75</v>
      </c>
      <c r="J62" s="55">
        <v>222</v>
      </c>
      <c r="K62" s="56">
        <v>151</v>
      </c>
      <c r="L62" s="55">
        <v>1.4701986754966887</v>
      </c>
      <c r="M62" s="52" t="s">
        <v>85</v>
      </c>
      <c r="N62" s="52" t="s">
        <v>85</v>
      </c>
      <c r="O62" s="14">
        <v>30</v>
      </c>
      <c r="P62" s="71"/>
    </row>
    <row r="63" spans="1:16" s="80" customFormat="1" ht="13.8" x14ac:dyDescent="0.25">
      <c r="A63" s="50">
        <v>178</v>
      </c>
      <c r="B63" s="51" t="s">
        <v>393</v>
      </c>
      <c r="C63" s="75">
        <v>0.55693833780160851</v>
      </c>
      <c r="D63" s="52">
        <v>1942</v>
      </c>
      <c r="E63" s="53">
        <v>115</v>
      </c>
      <c r="F63" s="54">
        <v>450</v>
      </c>
      <c r="G63" s="55">
        <v>1675.5</v>
      </c>
      <c r="H63" s="55">
        <v>0.37676767676767675</v>
      </c>
      <c r="I63" s="55">
        <v>0.75</v>
      </c>
      <c r="J63" s="55">
        <v>222</v>
      </c>
      <c r="K63" s="56">
        <v>153</v>
      </c>
      <c r="L63" s="55">
        <v>1.4509803921568627</v>
      </c>
      <c r="M63" s="52" t="s">
        <v>85</v>
      </c>
      <c r="N63" s="52" t="s">
        <v>85</v>
      </c>
      <c r="O63" s="14">
        <v>30</v>
      </c>
      <c r="P63" s="71"/>
    </row>
    <row r="64" spans="1:16" s="80" customFormat="1" ht="13.8" x14ac:dyDescent="0.25">
      <c r="A64" s="50">
        <v>179</v>
      </c>
      <c r="B64" s="51" t="s">
        <v>394</v>
      </c>
      <c r="C64" s="75">
        <v>0.55693833780160851</v>
      </c>
      <c r="D64" s="52">
        <v>1942</v>
      </c>
      <c r="E64" s="53">
        <v>115</v>
      </c>
      <c r="F64" s="54">
        <v>450</v>
      </c>
      <c r="G64" s="55">
        <v>1675.5</v>
      </c>
      <c r="H64" s="55">
        <v>0.37676767676767675</v>
      </c>
      <c r="I64" s="55">
        <v>0.75</v>
      </c>
      <c r="J64" s="55">
        <v>222</v>
      </c>
      <c r="K64" s="56">
        <v>142</v>
      </c>
      <c r="L64" s="55">
        <v>1.5633802816901408</v>
      </c>
      <c r="M64" s="52" t="s">
        <v>85</v>
      </c>
      <c r="N64" s="52" t="s">
        <v>85</v>
      </c>
      <c r="O64" s="14">
        <v>30</v>
      </c>
      <c r="P64" s="71"/>
    </row>
    <row r="65" spans="1:16" s="80" customFormat="1" ht="13.8" x14ac:dyDescent="0.25">
      <c r="A65" s="50">
        <v>180</v>
      </c>
      <c r="B65" s="51" t="s">
        <v>395</v>
      </c>
      <c r="C65" s="75">
        <v>0.55693833780160851</v>
      </c>
      <c r="D65" s="52">
        <v>1942</v>
      </c>
      <c r="E65" s="53">
        <v>115</v>
      </c>
      <c r="F65" s="54">
        <v>450</v>
      </c>
      <c r="G65" s="55">
        <v>1675.5</v>
      </c>
      <c r="H65" s="55">
        <v>0.37676767676767675</v>
      </c>
      <c r="I65" s="55">
        <v>0.75</v>
      </c>
      <c r="J65" s="55">
        <v>222</v>
      </c>
      <c r="K65" s="56">
        <v>157</v>
      </c>
      <c r="L65" s="55">
        <v>1.4140127388535031</v>
      </c>
      <c r="M65" s="52" t="s">
        <v>85</v>
      </c>
      <c r="N65" s="52" t="s">
        <v>85</v>
      </c>
      <c r="O65" s="14">
        <v>30</v>
      </c>
      <c r="P65" s="71"/>
    </row>
    <row r="66" spans="1:16" s="80" customFormat="1" ht="13.8" x14ac:dyDescent="0.25">
      <c r="A66" s="50">
        <v>181</v>
      </c>
      <c r="B66" s="51" t="s">
        <v>396</v>
      </c>
      <c r="C66" s="75">
        <v>0.55693833780160851</v>
      </c>
      <c r="D66" s="52">
        <v>1942</v>
      </c>
      <c r="E66" s="53">
        <v>115</v>
      </c>
      <c r="F66" s="54">
        <v>450</v>
      </c>
      <c r="G66" s="55">
        <v>1675.5</v>
      </c>
      <c r="H66" s="55">
        <v>0.37676767676767675</v>
      </c>
      <c r="I66" s="55">
        <v>0.75</v>
      </c>
      <c r="J66" s="55">
        <v>222</v>
      </c>
      <c r="K66" s="56">
        <v>174</v>
      </c>
      <c r="L66" s="55">
        <v>1.2758620689655173</v>
      </c>
      <c r="M66" s="52" t="s">
        <v>85</v>
      </c>
      <c r="N66" s="52" t="s">
        <v>85</v>
      </c>
      <c r="O66" s="14">
        <v>40</v>
      </c>
      <c r="P66" s="71"/>
    </row>
    <row r="67" spans="1:16" s="80" customFormat="1" ht="13.8" x14ac:dyDescent="0.25">
      <c r="A67" s="63">
        <v>194</v>
      </c>
      <c r="B67" s="134" t="s">
        <v>409</v>
      </c>
      <c r="C67" s="75">
        <v>0.61975524969757545</v>
      </c>
      <c r="D67" s="67">
        <v>1927</v>
      </c>
      <c r="E67" s="68">
        <v>488</v>
      </c>
      <c r="F67" s="69">
        <v>2774</v>
      </c>
      <c r="G67" s="55">
        <v>7992.0374999999976</v>
      </c>
      <c r="H67" s="55">
        <v>0.27692935119034617</v>
      </c>
      <c r="I67" s="55">
        <v>0.75</v>
      </c>
      <c r="J67" s="55">
        <v>1670.3625000000002</v>
      </c>
      <c r="K67" s="70">
        <v>1196</v>
      </c>
      <c r="L67" s="55">
        <v>1.3966241638795989</v>
      </c>
      <c r="M67" s="67" t="s">
        <v>85</v>
      </c>
      <c r="N67" s="67" t="s">
        <v>150</v>
      </c>
      <c r="O67" s="82">
        <v>159</v>
      </c>
      <c r="P67" s="83"/>
    </row>
    <row r="68" spans="1:16" s="80" customFormat="1" ht="13.8" x14ac:dyDescent="0.25">
      <c r="A68" s="62">
        <v>201</v>
      </c>
      <c r="B68" s="51" t="s">
        <v>416</v>
      </c>
      <c r="C68" s="75">
        <v>0.60656608437705994</v>
      </c>
      <c r="D68" s="52">
        <v>1930</v>
      </c>
      <c r="E68" s="53">
        <v>290</v>
      </c>
      <c r="F68" s="54">
        <v>1400</v>
      </c>
      <c r="G68" s="55">
        <v>4083.3125</v>
      </c>
      <c r="H68" s="55">
        <v>0.32835497835497834</v>
      </c>
      <c r="I68" s="55">
        <v>0.75</v>
      </c>
      <c r="J68" s="55">
        <v>701.6875</v>
      </c>
      <c r="K68" s="56">
        <v>478</v>
      </c>
      <c r="L68" s="55">
        <v>1.4679654811715481</v>
      </c>
      <c r="M68" s="52" t="s">
        <v>85</v>
      </c>
      <c r="N68" s="52" t="s">
        <v>85</v>
      </c>
      <c r="O68" s="14">
        <v>93</v>
      </c>
      <c r="P68" s="71"/>
    </row>
    <row r="69" spans="1:16" s="80" customFormat="1" ht="13.8" x14ac:dyDescent="0.25">
      <c r="A69" s="62">
        <v>202</v>
      </c>
      <c r="B69" s="51" t="s">
        <v>417</v>
      </c>
      <c r="C69" s="75">
        <v>0.60656608437705994</v>
      </c>
      <c r="D69" s="52">
        <v>1930</v>
      </c>
      <c r="E69" s="53">
        <v>290</v>
      </c>
      <c r="F69" s="54">
        <v>1400</v>
      </c>
      <c r="G69" s="55">
        <v>4083.3125</v>
      </c>
      <c r="H69" s="55">
        <v>0.32835497835497834</v>
      </c>
      <c r="I69" s="55">
        <v>0.75</v>
      </c>
      <c r="J69" s="55">
        <v>701.6875</v>
      </c>
      <c r="K69" s="56">
        <v>475</v>
      </c>
      <c r="L69" s="55">
        <v>1.4772368421052631</v>
      </c>
      <c r="M69" s="52" t="s">
        <v>85</v>
      </c>
      <c r="N69" s="52" t="s">
        <v>85</v>
      </c>
      <c r="O69" s="14">
        <v>97</v>
      </c>
      <c r="P69" s="71"/>
    </row>
    <row r="70" spans="1:16" s="80" customFormat="1" ht="13.8" x14ac:dyDescent="0.25">
      <c r="A70" s="57">
        <v>212</v>
      </c>
      <c r="B70" s="51" t="s">
        <v>428</v>
      </c>
      <c r="C70" s="75">
        <v>0.62618919793014227</v>
      </c>
      <c r="D70" s="52">
        <v>1923</v>
      </c>
      <c r="E70" s="53">
        <v>215</v>
      </c>
      <c r="F70" s="54">
        <v>1125</v>
      </c>
      <c r="G70" s="55">
        <v>2981.90625</v>
      </c>
      <c r="H70" s="55">
        <v>0.31232323232323234</v>
      </c>
      <c r="I70" s="55">
        <v>0.75</v>
      </c>
      <c r="J70" s="55">
        <v>565.59375</v>
      </c>
      <c r="K70" s="56">
        <v>305</v>
      </c>
      <c r="L70" s="55">
        <v>1.8544057377049181</v>
      </c>
      <c r="M70" s="52" t="s">
        <v>85</v>
      </c>
      <c r="N70" s="52" t="s">
        <v>85</v>
      </c>
      <c r="O70" s="14">
        <v>68</v>
      </c>
      <c r="P70" s="71"/>
    </row>
    <row r="71" spans="1:16" s="80" customFormat="1" ht="13.8" x14ac:dyDescent="0.25">
      <c r="A71" s="62">
        <v>238</v>
      </c>
      <c r="B71" s="51" t="s">
        <v>453</v>
      </c>
      <c r="C71" s="75">
        <v>0.60656608437705994</v>
      </c>
      <c r="D71" s="52">
        <v>1930</v>
      </c>
      <c r="E71" s="53">
        <v>290</v>
      </c>
      <c r="F71" s="54">
        <v>1400</v>
      </c>
      <c r="G71" s="55">
        <v>4083.3125</v>
      </c>
      <c r="H71" s="55">
        <v>0.32835497835497834</v>
      </c>
      <c r="I71" s="55">
        <v>0.75</v>
      </c>
      <c r="J71" s="55">
        <v>701.6875</v>
      </c>
      <c r="K71" s="56">
        <v>473</v>
      </c>
      <c r="L71" s="55">
        <v>1.4834830866807611</v>
      </c>
      <c r="M71" s="52" t="s">
        <v>85</v>
      </c>
      <c r="N71" s="52" t="s">
        <v>85</v>
      </c>
      <c r="O71" s="14">
        <v>101</v>
      </c>
      <c r="P71" s="71"/>
    </row>
    <row r="72" spans="1:16" s="80" customFormat="1" ht="13.8" x14ac:dyDescent="0.25">
      <c r="A72" s="62">
        <v>241</v>
      </c>
      <c r="B72" s="51" t="s">
        <v>456</v>
      </c>
      <c r="C72" s="75">
        <v>0.60656608437705994</v>
      </c>
      <c r="D72" s="52">
        <v>1930</v>
      </c>
      <c r="E72" s="53">
        <v>290</v>
      </c>
      <c r="F72" s="54">
        <v>1400</v>
      </c>
      <c r="G72" s="55">
        <v>4083.3125</v>
      </c>
      <c r="H72" s="55">
        <v>0.32835497835497834</v>
      </c>
      <c r="I72" s="55">
        <v>0.75</v>
      </c>
      <c r="J72" s="55">
        <v>701.6875</v>
      </c>
      <c r="K72" s="56">
        <v>483</v>
      </c>
      <c r="L72" s="55">
        <v>1.4527691511387164</v>
      </c>
      <c r="M72" s="52" t="s">
        <v>85</v>
      </c>
      <c r="N72" s="52" t="s">
        <v>85</v>
      </c>
      <c r="O72" s="14">
        <v>98</v>
      </c>
      <c r="P72" s="71"/>
    </row>
    <row r="73" spans="1:16" s="84" customFormat="1" ht="13.8" x14ac:dyDescent="0.3">
      <c r="C73" s="85" t="s">
        <v>473</v>
      </c>
      <c r="F73" s="86" t="s">
        <v>472</v>
      </c>
      <c r="G73" s="87" t="s">
        <v>472</v>
      </c>
      <c r="I73" s="86" t="s">
        <v>473</v>
      </c>
      <c r="J73" s="86" t="s">
        <v>472</v>
      </c>
      <c r="O73" s="86" t="s">
        <v>472</v>
      </c>
    </row>
    <row r="74" spans="1:16" s="84" customFormat="1" ht="13.8" x14ac:dyDescent="0.3">
      <c r="C74" s="88">
        <f>AVERAGE(C2:C72)</f>
        <v>0.51878094757603477</v>
      </c>
      <c r="F74" s="89">
        <f>SUM(F2:F72)-F67</f>
        <v>37894</v>
      </c>
      <c r="G74" s="89">
        <f>SUM(G2:G72)-G67</f>
        <v>112609.20624999999</v>
      </c>
      <c r="I74" s="88">
        <f>AVERAGE(I2:I72)</f>
        <v>0.67676056338028145</v>
      </c>
      <c r="J74" s="89">
        <f>SUM(J2:J72)-J67</f>
        <v>16292.09375</v>
      </c>
      <c r="O74" s="89">
        <f>SUM(O2:O72)-O67</f>
        <v>2218</v>
      </c>
    </row>
  </sheetData>
  <conditionalFormatting sqref="K30:K72 M2:N72 J2:J72 B2:B72">
    <cfRule type="containsText" dxfId="258" priority="46" operator="containsText" text="CALDAIE MURALI">
      <formula>NOT(ISERROR(SEARCH("CALDAIE MURALI",B2)))</formula>
    </cfRule>
    <cfRule type="containsText" dxfId="257" priority="47" operator="containsText" text="METANO">
      <formula>NOT(ISERROR(SEARCH("METANO",B2)))</formula>
    </cfRule>
    <cfRule type="containsText" dxfId="256" priority="48" operator="containsText" text="TELERISCALDAMENTO">
      <formula>NOT(ISERROR(SEARCH("TELERISCALDAMENTO",B2)))</formula>
    </cfRule>
    <cfRule type="containsText" dxfId="255" priority="49" operator="containsText" text="CENTRALIZZATO">
      <formula>NOT(ISERROR(SEARCH("CENTRALIZZATO",B2)))</formula>
    </cfRule>
  </conditionalFormatting>
  <conditionalFormatting sqref="A2:A32">
    <cfRule type="containsText" dxfId="254" priority="42" operator="containsText" text="CALDAIE MURALI">
      <formula>NOT(ISERROR(SEARCH("CALDAIE MURALI",A2)))</formula>
    </cfRule>
    <cfRule type="containsText" dxfId="253" priority="43" operator="containsText" text="METANO">
      <formula>NOT(ISERROR(SEARCH("METANO",A2)))</formula>
    </cfRule>
    <cfRule type="containsText" dxfId="252" priority="44" operator="containsText" text="TELERISCALDAMENTO">
      <formula>NOT(ISERROR(SEARCH("TELERISCALDAMENTO",A2)))</formula>
    </cfRule>
    <cfRule type="containsText" dxfId="251" priority="45" operator="containsText" text="CENTRALIZZATO">
      <formula>NOT(ISERROR(SEARCH("CENTRALIZZATO",A2)))</formula>
    </cfRule>
  </conditionalFormatting>
  <conditionalFormatting sqref="E2:H72">
    <cfRule type="containsText" dxfId="250" priority="38" operator="containsText" text="CALDAIE MURALI">
      <formula>NOT(ISERROR(SEARCH("CALDAIE MURALI",E2)))</formula>
    </cfRule>
    <cfRule type="containsText" dxfId="249" priority="39" operator="containsText" text="METANO">
      <formula>NOT(ISERROR(SEARCH("METANO",E2)))</formula>
    </cfRule>
    <cfRule type="containsText" dxfId="248" priority="40" operator="containsText" text="TELERISCALDAMENTO">
      <formula>NOT(ISERROR(SEARCH("TELERISCALDAMENTO",E2)))</formula>
    </cfRule>
    <cfRule type="containsText" dxfId="247" priority="41" operator="containsText" text="CENTRALIZZATO">
      <formula>NOT(ISERROR(SEARCH("CENTRALIZZATO",E2)))</formula>
    </cfRule>
  </conditionalFormatting>
  <conditionalFormatting sqref="K2:L2 K3:K12 L3:L72">
    <cfRule type="containsText" dxfId="246" priority="34" operator="containsText" text="CALDAIE MURALI">
      <formula>NOT(ISERROR(SEARCH("CALDAIE MURALI",K2)))</formula>
    </cfRule>
    <cfRule type="containsText" dxfId="245" priority="35" operator="containsText" text="METANO">
      <formula>NOT(ISERROR(SEARCH("METANO",K2)))</formula>
    </cfRule>
    <cfRule type="containsText" dxfId="244" priority="36" operator="containsText" text="TELERISCALDAMENTO">
      <formula>NOT(ISERROR(SEARCH("TELERISCALDAMENTO",K2)))</formula>
    </cfRule>
    <cfRule type="containsText" dxfId="243" priority="37" operator="containsText" text="CENTRALIZZATO">
      <formula>NOT(ISERROR(SEARCH("CENTRALIZZATO",K2)))</formula>
    </cfRule>
  </conditionalFormatting>
  <conditionalFormatting sqref="K13:K29">
    <cfRule type="containsText" dxfId="242" priority="30" operator="containsText" text="CALDAIE MURALI">
      <formula>NOT(ISERROR(SEARCH("CALDAIE MURALI",K13)))</formula>
    </cfRule>
    <cfRule type="containsText" dxfId="241" priority="31" operator="containsText" text="METANO">
      <formula>NOT(ISERROR(SEARCH("METANO",K13)))</formula>
    </cfRule>
    <cfRule type="containsText" dxfId="240" priority="32" operator="containsText" text="TELERISCALDAMENTO">
      <formula>NOT(ISERROR(SEARCH("TELERISCALDAMENTO",K13)))</formula>
    </cfRule>
    <cfRule type="containsText" dxfId="239" priority="33" operator="containsText" text="CENTRALIZZATO">
      <formula>NOT(ISERROR(SEARCH("CENTRALIZZATO",K13)))</formula>
    </cfRule>
  </conditionalFormatting>
  <conditionalFormatting sqref="A33:A54">
    <cfRule type="containsText" dxfId="238" priority="26" operator="containsText" text="CALDAIE MURALI">
      <formula>NOT(ISERROR(SEARCH("CALDAIE MURALI",A33)))</formula>
    </cfRule>
    <cfRule type="containsText" dxfId="237" priority="27" operator="containsText" text="METANO">
      <formula>NOT(ISERROR(SEARCH("METANO",A33)))</formula>
    </cfRule>
    <cfRule type="containsText" dxfId="236" priority="28" operator="containsText" text="TELERISCALDAMENTO">
      <formula>NOT(ISERROR(SEARCH("TELERISCALDAMENTO",A33)))</formula>
    </cfRule>
    <cfRule type="containsText" dxfId="235" priority="29" operator="containsText" text="CENTRALIZZATO">
      <formula>NOT(ISERROR(SEARCH("CENTRALIZZATO",A33)))</formula>
    </cfRule>
  </conditionalFormatting>
  <conditionalFormatting sqref="A55">
    <cfRule type="containsText" dxfId="234" priority="22" operator="containsText" text="CALDAIE MURALI">
      <formula>NOT(ISERROR(SEARCH("CALDAIE MURALI",A55)))</formula>
    </cfRule>
    <cfRule type="containsText" dxfId="233" priority="23" operator="containsText" text="METANO">
      <formula>NOT(ISERROR(SEARCH("METANO",A55)))</formula>
    </cfRule>
    <cfRule type="containsText" dxfId="232" priority="24" operator="containsText" text="TELERISCALDAMENTO">
      <formula>NOT(ISERROR(SEARCH("TELERISCALDAMENTO",A55)))</formula>
    </cfRule>
    <cfRule type="containsText" dxfId="231" priority="25" operator="containsText" text="CENTRALIZZATO">
      <formula>NOT(ISERROR(SEARCH("CENTRALIZZATO",A55)))</formula>
    </cfRule>
  </conditionalFormatting>
  <conditionalFormatting sqref="A56:A70">
    <cfRule type="containsText" dxfId="230" priority="18" operator="containsText" text="CALDAIE MURALI">
      <formula>NOT(ISERROR(SEARCH("CALDAIE MURALI",A56)))</formula>
    </cfRule>
    <cfRule type="containsText" dxfId="229" priority="19" operator="containsText" text="METANO">
      <formula>NOT(ISERROR(SEARCH("METANO",A56)))</formula>
    </cfRule>
    <cfRule type="containsText" dxfId="228" priority="20" operator="containsText" text="TELERISCALDAMENTO">
      <formula>NOT(ISERROR(SEARCH("TELERISCALDAMENTO",A56)))</formula>
    </cfRule>
    <cfRule type="containsText" dxfId="227" priority="21" operator="containsText" text="CENTRALIZZATO">
      <formula>NOT(ISERROR(SEARCH("CENTRALIZZATO",A56)))</formula>
    </cfRule>
  </conditionalFormatting>
  <conditionalFormatting sqref="A71:A72">
    <cfRule type="containsText" dxfId="226" priority="14" operator="containsText" text="CALDAIE MURALI">
      <formula>NOT(ISERROR(SEARCH("CALDAIE MURALI",A71)))</formula>
    </cfRule>
    <cfRule type="containsText" dxfId="225" priority="15" operator="containsText" text="METANO">
      <formula>NOT(ISERROR(SEARCH("METANO",A71)))</formula>
    </cfRule>
    <cfRule type="containsText" dxfId="224" priority="16" operator="containsText" text="TELERISCALDAMENTO">
      <formula>NOT(ISERROR(SEARCH("TELERISCALDAMENTO",A71)))</formula>
    </cfRule>
    <cfRule type="containsText" dxfId="223" priority="17" operator="containsText" text="CENTRALIZZATO">
      <formula>NOT(ISERROR(SEARCH("CENTRALIZZATO",A71)))</formula>
    </cfRule>
  </conditionalFormatting>
  <conditionalFormatting sqref="C20:C47 C49:C72">
    <cfRule type="cellIs" dxfId="222" priority="50" operator="lessThanOrEqual">
      <formula>#REF!</formula>
    </cfRule>
    <cfRule type="cellIs" dxfId="221" priority="51" operator="greaterThan">
      <formula>#REF!</formula>
    </cfRule>
  </conditionalFormatting>
  <conditionalFormatting sqref="C2">
    <cfRule type="cellIs" dxfId="220" priority="52" operator="lessThanOrEqual">
      <formula>#REF!</formula>
    </cfRule>
    <cfRule type="cellIs" dxfId="219" priority="53" operator="greaterThan">
      <formula>"$R$2"</formula>
    </cfRule>
  </conditionalFormatting>
  <conditionalFormatting sqref="C3">
    <cfRule type="cellIs" dxfId="218" priority="54" operator="lessThanOrEqual">
      <formula>#REF!</formula>
    </cfRule>
    <cfRule type="cellIs" dxfId="217" priority="55" operator="greaterThan">
      <formula>"$R3"</formula>
    </cfRule>
  </conditionalFormatting>
  <conditionalFormatting sqref="C4">
    <cfRule type="cellIs" dxfId="216" priority="56" operator="lessThanOrEqual">
      <formula>#REF!</formula>
    </cfRule>
    <cfRule type="cellIs" dxfId="215" priority="57" operator="greaterThan">
      <formula>"$R4"</formula>
    </cfRule>
  </conditionalFormatting>
  <conditionalFormatting sqref="C5">
    <cfRule type="cellIs" dxfId="214" priority="58" operator="lessThanOrEqual">
      <formula>#REF!</formula>
    </cfRule>
    <cfRule type="cellIs" dxfId="213" priority="59" operator="greaterThan">
      <formula>"R5"</formula>
    </cfRule>
  </conditionalFormatting>
  <conditionalFormatting sqref="C6">
    <cfRule type="cellIs" dxfId="212" priority="60" operator="lessThanOrEqual">
      <formula>#REF!</formula>
    </cfRule>
    <cfRule type="cellIs" dxfId="211" priority="61" operator="greaterThan">
      <formula>"$R6"</formula>
    </cfRule>
  </conditionalFormatting>
  <conditionalFormatting sqref="C7">
    <cfRule type="cellIs" dxfId="210" priority="62" operator="lessThanOrEqual">
      <formula>#REF!</formula>
    </cfRule>
    <cfRule type="cellIs" dxfId="209" priority="63" operator="greaterThan">
      <formula>"$R7"</formula>
    </cfRule>
  </conditionalFormatting>
  <conditionalFormatting sqref="C8">
    <cfRule type="cellIs" dxfId="208" priority="64" operator="lessThanOrEqual">
      <formula>#REF!</formula>
    </cfRule>
    <cfRule type="cellIs" dxfId="207" priority="65" operator="greaterThan">
      <formula>"$R8"</formula>
    </cfRule>
  </conditionalFormatting>
  <conditionalFormatting sqref="C9">
    <cfRule type="cellIs" dxfId="206" priority="66" operator="lessThanOrEqual">
      <formula>#REF!</formula>
    </cfRule>
    <cfRule type="cellIs" dxfId="205" priority="67" operator="greaterThan">
      <formula>"$R9"</formula>
    </cfRule>
  </conditionalFormatting>
  <conditionalFormatting sqref="C10">
    <cfRule type="cellIs" dxfId="204" priority="68" operator="lessThanOrEqual">
      <formula>#REF!</formula>
    </cfRule>
    <cfRule type="cellIs" dxfId="203" priority="69" operator="greaterThan">
      <formula>"$R10"</formula>
    </cfRule>
  </conditionalFormatting>
  <conditionalFormatting sqref="C11">
    <cfRule type="cellIs" dxfId="202" priority="70" operator="lessThanOrEqual">
      <formula>#REF!</formula>
    </cfRule>
    <cfRule type="cellIs" dxfId="201" priority="71" operator="greaterThan">
      <formula>"$R11"</formula>
    </cfRule>
  </conditionalFormatting>
  <conditionalFormatting sqref="C12">
    <cfRule type="cellIs" dxfId="200" priority="72" operator="lessThanOrEqual">
      <formula>#REF!</formula>
    </cfRule>
    <cfRule type="cellIs" dxfId="199" priority="73" operator="greaterThan">
      <formula>"$R12"</formula>
    </cfRule>
  </conditionalFormatting>
  <conditionalFormatting sqref="C13">
    <cfRule type="cellIs" dxfId="198" priority="74" operator="lessThanOrEqual">
      <formula>#REF!</formula>
    </cfRule>
    <cfRule type="cellIs" dxfId="197" priority="75" operator="greaterThan">
      <formula>"$R13"</formula>
    </cfRule>
  </conditionalFormatting>
  <conditionalFormatting sqref="C14">
    <cfRule type="cellIs" dxfId="196" priority="76" operator="lessThanOrEqual">
      <formula>#REF!</formula>
    </cfRule>
    <cfRule type="cellIs" dxfId="195" priority="77" operator="greaterThan">
      <formula>"$R14"</formula>
    </cfRule>
  </conditionalFormatting>
  <conditionalFormatting sqref="C15">
    <cfRule type="cellIs" dxfId="194" priority="78" operator="lessThanOrEqual">
      <formula>#REF!</formula>
    </cfRule>
    <cfRule type="cellIs" dxfId="193" priority="79" operator="greaterThan">
      <formula>"$R15"</formula>
    </cfRule>
  </conditionalFormatting>
  <conditionalFormatting sqref="C16">
    <cfRule type="cellIs" dxfId="192" priority="80" operator="lessThanOrEqual">
      <formula>#REF!</formula>
    </cfRule>
    <cfRule type="cellIs" dxfId="191" priority="81" operator="greaterThan">
      <formula>"$R16"</formula>
    </cfRule>
  </conditionalFormatting>
  <conditionalFormatting sqref="C17">
    <cfRule type="cellIs" dxfId="190" priority="82" operator="lessThanOrEqual">
      <formula>#REF!</formula>
    </cfRule>
    <cfRule type="cellIs" dxfId="189" priority="83" operator="greaterThan">
      <formula>"$R17"</formula>
    </cfRule>
  </conditionalFormatting>
  <conditionalFormatting sqref="C18">
    <cfRule type="cellIs" dxfId="188" priority="84" operator="lessThanOrEqual">
      <formula>#REF!</formula>
    </cfRule>
    <cfRule type="cellIs" dxfId="187" priority="85" operator="greaterThan">
      <formula>"$R18"</formula>
    </cfRule>
  </conditionalFormatting>
  <conditionalFormatting sqref="C19">
    <cfRule type="cellIs" dxfId="186" priority="86" operator="lessThanOrEqual">
      <formula>#REF!</formula>
    </cfRule>
    <cfRule type="cellIs" dxfId="185" priority="87" operator="greaterThan">
      <formula>"$R$19"</formula>
    </cfRule>
  </conditionalFormatting>
  <conditionalFormatting sqref="C48">
    <cfRule type="cellIs" dxfId="184" priority="88" operator="lessThanOrEqual">
      <formula>#REF!</formula>
    </cfRule>
    <cfRule type="cellIs" dxfId="183" priority="89" operator="greaterThan">
      <formula>#REF!</formula>
    </cfRule>
  </conditionalFormatting>
  <conditionalFormatting sqref="M1:O1 E1:J1">
    <cfRule type="containsText" dxfId="182" priority="10" operator="containsText" text="CALDAIE MURALI">
      <formula>NOT(ISERROR(SEARCH("CALDAIE MURALI",E1)))</formula>
    </cfRule>
    <cfRule type="containsText" dxfId="181" priority="11" operator="containsText" text="METANO">
      <formula>NOT(ISERROR(SEARCH("METANO",E1)))</formula>
    </cfRule>
    <cfRule type="containsText" dxfId="180" priority="12" operator="containsText" text="TELERISCALDAMENTO">
      <formula>NOT(ISERROR(SEARCH("TELERISCALDAMENTO",E1)))</formula>
    </cfRule>
    <cfRule type="containsText" dxfId="179" priority="13" operator="containsText" text="CENTRALIZZATO">
      <formula>NOT(ISERROR(SEARCH("CENTRALIZZATO",E1)))</formula>
    </cfRule>
  </conditionalFormatting>
  <conditionalFormatting sqref="D1">
    <cfRule type="containsText" dxfId="178" priority="6" operator="containsText" text="CALDAIE MURALI">
      <formula>NOT(ISERROR(SEARCH("CALDAIE MURALI",D1)))</formula>
    </cfRule>
    <cfRule type="containsText" dxfId="177" priority="7" operator="containsText" text="METANO">
      <formula>NOT(ISERROR(SEARCH("METANO",D1)))</formula>
    </cfRule>
    <cfRule type="containsText" dxfId="176" priority="8" operator="containsText" text="TELERISCALDAMENTO">
      <formula>NOT(ISERROR(SEARCH("TELERISCALDAMENTO",D1)))</formula>
    </cfRule>
    <cfRule type="containsText" dxfId="175" priority="9" operator="containsText" text="CENTRALIZZATO">
      <formula>NOT(ISERROR(SEARCH("CENTRALIZZATO",D1)))</formula>
    </cfRule>
  </conditionalFormatting>
  <conditionalFormatting sqref="K1:L1">
    <cfRule type="containsText" dxfId="174" priority="2" operator="containsText" text="CALDAIE MURALI">
      <formula>NOT(ISERROR(SEARCH("CALDAIE MURALI",K1)))</formula>
    </cfRule>
    <cfRule type="containsText" dxfId="173" priority="3" operator="containsText" text="METANO">
      <formula>NOT(ISERROR(SEARCH("METANO",K1)))</formula>
    </cfRule>
    <cfRule type="containsText" dxfId="172" priority="4" operator="containsText" text="TELERISCALDAMENTO">
      <formula>NOT(ISERROR(SEARCH("TELERISCALDAMENTO",K1)))</formula>
    </cfRule>
    <cfRule type="containsText" dxfId="171" priority="5" operator="containsText" text="CENTRALIZZATO">
      <formula>NOT(ISERROR(SEARCH("CENTRALIZZATO",K1)))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BA24C0F1-84DD-458B-B3C7-5AB123642604}">
            <xm:f>NOT(ISERROR(SEARCH(#REF!,O1)))</xm:f>
            <xm:f>#REF!</xm:f>
            <x14:dxf>
              <fill>
                <patternFill>
                  <bgColor theme="2" tint="-9.9948118533890809E-2"/>
                </patternFill>
              </fill>
            </x14:dxf>
          </x14:cfRule>
          <xm:sqref>O1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D8C91-E810-4589-9F9B-C6BF8A5A38EA}">
  <sheetPr>
    <tabColor theme="9" tint="-0.249977111117893"/>
  </sheetPr>
  <dimension ref="A1:P58"/>
  <sheetViews>
    <sheetView topLeftCell="A49" workbookViewId="0">
      <selection activeCell="C1" sqref="C1:O1"/>
    </sheetView>
  </sheetViews>
  <sheetFormatPr defaultRowHeight="14.4" x14ac:dyDescent="0.3"/>
  <cols>
    <col min="2" max="2" width="58.33203125" bestFit="1" customWidth="1"/>
  </cols>
  <sheetData>
    <row r="1" spans="1:16" s="80" customFormat="1" ht="36" x14ac:dyDescent="0.25">
      <c r="B1" s="2" t="s">
        <v>0</v>
      </c>
      <c r="C1" s="74" t="s">
        <v>71</v>
      </c>
      <c r="D1" s="73" t="s">
        <v>72</v>
      </c>
      <c r="E1" s="48" t="s">
        <v>73</v>
      </c>
      <c r="F1" s="48" t="s">
        <v>74</v>
      </c>
      <c r="G1" s="46" t="s">
        <v>475</v>
      </c>
      <c r="H1" s="46" t="s">
        <v>75</v>
      </c>
      <c r="I1" s="47" t="s">
        <v>76</v>
      </c>
      <c r="J1" s="48" t="s">
        <v>77</v>
      </c>
      <c r="K1" s="49" t="s">
        <v>78</v>
      </c>
      <c r="L1" s="49" t="s">
        <v>79</v>
      </c>
      <c r="M1" s="45" t="s">
        <v>80</v>
      </c>
      <c r="N1" s="45" t="s">
        <v>81</v>
      </c>
      <c r="O1" s="45" t="s">
        <v>82</v>
      </c>
    </row>
    <row r="2" spans="1:16" s="80" customFormat="1" ht="13.8" x14ac:dyDescent="0.25">
      <c r="A2" s="59" t="s">
        <v>140</v>
      </c>
      <c r="B2" s="51" t="s">
        <v>141</v>
      </c>
      <c r="C2" s="75">
        <v>0.52155855144404328</v>
      </c>
      <c r="D2" s="52">
        <v>1956</v>
      </c>
      <c r="E2" s="53">
        <v>342</v>
      </c>
      <c r="F2" s="54">
        <v>1510</v>
      </c>
      <c r="G2" s="55">
        <v>3910.7124999999996</v>
      </c>
      <c r="H2" s="55">
        <v>0.37800521774031703</v>
      </c>
      <c r="I2" s="55">
        <v>0.75</v>
      </c>
      <c r="J2" s="55">
        <v>603.6875</v>
      </c>
      <c r="K2" s="56">
        <v>415</v>
      </c>
      <c r="L2" s="55">
        <v>1.4546686746987951</v>
      </c>
      <c r="M2" s="52" t="s">
        <v>85</v>
      </c>
      <c r="N2" s="52" t="s">
        <v>85</v>
      </c>
      <c r="O2" s="14">
        <v>71</v>
      </c>
      <c r="P2" s="71"/>
    </row>
    <row r="3" spans="1:16" s="80" customFormat="1" ht="13.8" x14ac:dyDescent="0.25">
      <c r="A3" s="59" t="s">
        <v>142</v>
      </c>
      <c r="B3" s="51" t="s">
        <v>143</v>
      </c>
      <c r="C3" s="75">
        <v>0.50849133544834191</v>
      </c>
      <c r="D3" s="52">
        <v>1956</v>
      </c>
      <c r="E3" s="53">
        <v>156</v>
      </c>
      <c r="F3" s="54">
        <v>641</v>
      </c>
      <c r="G3" s="55">
        <v>1804.8374999999999</v>
      </c>
      <c r="H3" s="55">
        <v>0.3948848863045431</v>
      </c>
      <c r="I3" s="55">
        <v>0.75</v>
      </c>
      <c r="J3" s="55">
        <v>254.36250000000001</v>
      </c>
      <c r="K3" s="56">
        <v>177</v>
      </c>
      <c r="L3" s="55">
        <v>1.4370762711864407</v>
      </c>
      <c r="M3" s="52" t="s">
        <v>85</v>
      </c>
      <c r="N3" s="52" t="s">
        <v>85</v>
      </c>
      <c r="O3" s="14">
        <v>32</v>
      </c>
      <c r="P3" s="71"/>
    </row>
    <row r="4" spans="1:16" s="80" customFormat="1" ht="13.8" x14ac:dyDescent="0.25">
      <c r="A4" s="59" t="s">
        <v>144</v>
      </c>
      <c r="B4" s="51" t="s">
        <v>145</v>
      </c>
      <c r="C4" s="75">
        <v>0.44172531407035182</v>
      </c>
      <c r="D4" s="52">
        <v>1956</v>
      </c>
      <c r="E4" s="53">
        <v>88</v>
      </c>
      <c r="F4" s="54">
        <v>269</v>
      </c>
      <c r="G4" s="55">
        <v>1316.15625</v>
      </c>
      <c r="H4" s="55">
        <v>0.4483496676805227</v>
      </c>
      <c r="I4" s="55">
        <v>0.55000000000000004</v>
      </c>
      <c r="J4" s="55">
        <v>135.84375</v>
      </c>
      <c r="K4" s="56">
        <v>93</v>
      </c>
      <c r="L4" s="55">
        <v>1.4606854838709677</v>
      </c>
      <c r="M4" s="52" t="s">
        <v>85</v>
      </c>
      <c r="N4" s="52" t="s">
        <v>85</v>
      </c>
      <c r="O4" s="14">
        <v>16</v>
      </c>
      <c r="P4" s="71"/>
    </row>
    <row r="5" spans="1:16" s="80" customFormat="1" ht="13.8" x14ac:dyDescent="0.25">
      <c r="A5" s="59" t="s">
        <v>146</v>
      </c>
      <c r="B5" s="51" t="s">
        <v>147</v>
      </c>
      <c r="C5" s="75">
        <v>0.5142884092033646</v>
      </c>
      <c r="D5" s="52">
        <v>1956</v>
      </c>
      <c r="E5" s="53">
        <v>185</v>
      </c>
      <c r="F5" s="54">
        <v>800</v>
      </c>
      <c r="G5" s="55">
        <v>2136.0625</v>
      </c>
      <c r="H5" s="55">
        <v>0.3827651515151515</v>
      </c>
      <c r="I5" s="55">
        <v>0.75</v>
      </c>
      <c r="J5" s="55">
        <v>305.9375</v>
      </c>
      <c r="K5" s="56">
        <v>220</v>
      </c>
      <c r="L5" s="55">
        <v>1.390625</v>
      </c>
      <c r="M5" s="52" t="s">
        <v>85</v>
      </c>
      <c r="N5" s="52" t="s">
        <v>85</v>
      </c>
      <c r="O5" s="14">
        <v>40</v>
      </c>
      <c r="P5" s="71"/>
    </row>
    <row r="6" spans="1:16" s="80" customFormat="1" ht="13.8" x14ac:dyDescent="0.25">
      <c r="A6" s="50" t="s">
        <v>197</v>
      </c>
      <c r="B6" s="51" t="s">
        <v>198</v>
      </c>
      <c r="C6" s="75">
        <v>0.41356675938803894</v>
      </c>
      <c r="D6" s="52">
        <v>1946</v>
      </c>
      <c r="E6" s="53">
        <v>85</v>
      </c>
      <c r="F6" s="60">
        <v>237</v>
      </c>
      <c r="G6" s="55">
        <v>1539.9749999999999</v>
      </c>
      <c r="H6" s="55">
        <v>0.45965989003963692</v>
      </c>
      <c r="I6" s="55">
        <v>0.55000000000000004</v>
      </c>
      <c r="J6" s="55">
        <v>143.02499999999998</v>
      </c>
      <c r="K6" s="56">
        <v>72</v>
      </c>
      <c r="L6" s="55">
        <v>1.986458333333333</v>
      </c>
      <c r="M6" s="52" t="s">
        <v>85</v>
      </c>
      <c r="N6" s="52" t="s">
        <v>85</v>
      </c>
      <c r="O6" s="14">
        <v>21</v>
      </c>
      <c r="P6" s="71"/>
    </row>
    <row r="7" spans="1:16" s="80" customFormat="1" ht="13.8" x14ac:dyDescent="0.25">
      <c r="A7" s="50" t="s">
        <v>199</v>
      </c>
      <c r="B7" s="51" t="s">
        <v>200</v>
      </c>
      <c r="C7" s="75">
        <v>0.41356675938803894</v>
      </c>
      <c r="D7" s="52">
        <v>1946</v>
      </c>
      <c r="E7" s="53">
        <v>85</v>
      </c>
      <c r="F7" s="60">
        <v>237</v>
      </c>
      <c r="G7" s="55">
        <v>1539.9749999999999</v>
      </c>
      <c r="H7" s="55">
        <v>0.45965989003963692</v>
      </c>
      <c r="I7" s="55">
        <v>0.55000000000000004</v>
      </c>
      <c r="J7" s="55">
        <v>143.02499999999998</v>
      </c>
      <c r="K7" s="56">
        <v>68</v>
      </c>
      <c r="L7" s="55">
        <v>2.1033088235294115</v>
      </c>
      <c r="M7" s="52" t="s">
        <v>85</v>
      </c>
      <c r="N7" s="52" t="s">
        <v>85</v>
      </c>
      <c r="O7" s="14">
        <v>21</v>
      </c>
      <c r="P7" s="71"/>
    </row>
    <row r="8" spans="1:16" s="80" customFormat="1" ht="13.8" x14ac:dyDescent="0.25">
      <c r="A8" s="50" t="s">
        <v>201</v>
      </c>
      <c r="B8" s="51" t="s">
        <v>202</v>
      </c>
      <c r="C8" s="75">
        <v>0.41356675938803894</v>
      </c>
      <c r="D8" s="52">
        <v>1946</v>
      </c>
      <c r="E8" s="53">
        <v>85</v>
      </c>
      <c r="F8" s="60">
        <v>237</v>
      </c>
      <c r="G8" s="55">
        <v>1539.9749999999999</v>
      </c>
      <c r="H8" s="55">
        <v>0.45965989003963692</v>
      </c>
      <c r="I8" s="55">
        <v>0.55000000000000004</v>
      </c>
      <c r="J8" s="55">
        <v>143.02499999999998</v>
      </c>
      <c r="K8" s="56">
        <v>71</v>
      </c>
      <c r="L8" s="55">
        <v>2.0144366197183095</v>
      </c>
      <c r="M8" s="52" t="s">
        <v>85</v>
      </c>
      <c r="N8" s="52" t="s">
        <v>85</v>
      </c>
      <c r="O8" s="14">
        <v>21</v>
      </c>
      <c r="P8" s="71"/>
    </row>
    <row r="9" spans="1:16" s="80" customFormat="1" ht="13.8" x14ac:dyDescent="0.25">
      <c r="A9" s="50" t="s">
        <v>203</v>
      </c>
      <c r="B9" s="51" t="s">
        <v>204</v>
      </c>
      <c r="C9" s="75">
        <v>0.41356675938803894</v>
      </c>
      <c r="D9" s="52">
        <v>1946</v>
      </c>
      <c r="E9" s="53">
        <v>85</v>
      </c>
      <c r="F9" s="60">
        <v>237</v>
      </c>
      <c r="G9" s="55">
        <v>1539.9749999999999</v>
      </c>
      <c r="H9" s="55">
        <v>0.45965989003963692</v>
      </c>
      <c r="I9" s="55">
        <v>0.55000000000000004</v>
      </c>
      <c r="J9" s="55">
        <v>143.02499999999998</v>
      </c>
      <c r="K9" s="56">
        <v>69</v>
      </c>
      <c r="L9" s="55">
        <v>2.0728260869565216</v>
      </c>
      <c r="M9" s="52" t="s">
        <v>85</v>
      </c>
      <c r="N9" s="52" t="s">
        <v>85</v>
      </c>
      <c r="O9" s="14">
        <v>22</v>
      </c>
      <c r="P9" s="71"/>
    </row>
    <row r="10" spans="1:16" s="80" customFormat="1" ht="13.8" x14ac:dyDescent="0.25">
      <c r="A10" s="50" t="s">
        <v>205</v>
      </c>
      <c r="B10" s="51" t="s">
        <v>206</v>
      </c>
      <c r="C10" s="75">
        <v>0.41356675938803894</v>
      </c>
      <c r="D10" s="52">
        <v>1946</v>
      </c>
      <c r="E10" s="53">
        <v>85</v>
      </c>
      <c r="F10" s="60">
        <v>237</v>
      </c>
      <c r="G10" s="55">
        <v>1539.9749999999999</v>
      </c>
      <c r="H10" s="55">
        <v>0.45965989003963692</v>
      </c>
      <c r="I10" s="55">
        <v>0.55000000000000004</v>
      </c>
      <c r="J10" s="55">
        <v>143.02499999999998</v>
      </c>
      <c r="K10" s="56">
        <v>71</v>
      </c>
      <c r="L10" s="55">
        <v>2.0144366197183095</v>
      </c>
      <c r="M10" s="52" t="s">
        <v>85</v>
      </c>
      <c r="N10" s="52" t="s">
        <v>85</v>
      </c>
      <c r="O10" s="14">
        <v>21</v>
      </c>
      <c r="P10" s="71"/>
    </row>
    <row r="11" spans="1:16" s="80" customFormat="1" ht="13.8" x14ac:dyDescent="0.25">
      <c r="A11" s="50" t="s">
        <v>207</v>
      </c>
      <c r="B11" s="51" t="s">
        <v>208</v>
      </c>
      <c r="C11" s="75">
        <v>0.41356675938803894</v>
      </c>
      <c r="D11" s="52">
        <v>1946</v>
      </c>
      <c r="E11" s="53">
        <v>85</v>
      </c>
      <c r="F11" s="60">
        <v>237</v>
      </c>
      <c r="G11" s="55">
        <v>1539.9749999999999</v>
      </c>
      <c r="H11" s="55">
        <v>0.45965989003963692</v>
      </c>
      <c r="I11" s="55">
        <v>0.55000000000000004</v>
      </c>
      <c r="J11" s="55">
        <v>143.02499999999998</v>
      </c>
      <c r="K11" s="56">
        <v>70</v>
      </c>
      <c r="L11" s="55">
        <v>2.0432142857142854</v>
      </c>
      <c r="M11" s="52" t="s">
        <v>85</v>
      </c>
      <c r="N11" s="52" t="s">
        <v>85</v>
      </c>
      <c r="O11" s="14">
        <v>21</v>
      </c>
      <c r="P11" s="71"/>
    </row>
    <row r="12" spans="1:16" s="80" customFormat="1" ht="13.8" x14ac:dyDescent="0.25">
      <c r="A12" s="62" t="s">
        <v>223</v>
      </c>
      <c r="B12" s="51" t="s">
        <v>224</v>
      </c>
      <c r="C12" s="75">
        <v>0.41465938303341904</v>
      </c>
      <c r="D12" s="52">
        <v>1949</v>
      </c>
      <c r="E12" s="53">
        <v>90</v>
      </c>
      <c r="F12" s="60">
        <v>230</v>
      </c>
      <c r="G12" s="55">
        <v>1369.875</v>
      </c>
      <c r="H12" s="55">
        <v>0.51251646903820813</v>
      </c>
      <c r="I12" s="55">
        <v>0.55000000000000004</v>
      </c>
      <c r="J12" s="55">
        <v>115.125</v>
      </c>
      <c r="K12" s="56">
        <v>58</v>
      </c>
      <c r="L12" s="55">
        <v>1.9849137931034482</v>
      </c>
      <c r="M12" s="52" t="s">
        <v>85</v>
      </c>
      <c r="N12" s="52" t="s">
        <v>85</v>
      </c>
      <c r="O12" s="14">
        <v>21</v>
      </c>
      <c r="P12" s="71"/>
    </row>
    <row r="13" spans="1:16" s="80" customFormat="1" ht="13.8" x14ac:dyDescent="0.25">
      <c r="A13" s="62" t="s">
        <v>225</v>
      </c>
      <c r="B13" s="51" t="s">
        <v>226</v>
      </c>
      <c r="C13" s="75">
        <v>0.41465938303341904</v>
      </c>
      <c r="D13" s="52">
        <v>1949</v>
      </c>
      <c r="E13" s="53">
        <v>90</v>
      </c>
      <c r="F13" s="60">
        <v>230</v>
      </c>
      <c r="G13" s="55">
        <v>1369.875</v>
      </c>
      <c r="H13" s="55">
        <v>0.51251646903820813</v>
      </c>
      <c r="I13" s="55">
        <v>0.55000000000000004</v>
      </c>
      <c r="J13" s="55">
        <v>115.125</v>
      </c>
      <c r="K13" s="56">
        <v>62</v>
      </c>
      <c r="L13" s="55">
        <v>1.8568548387096775</v>
      </c>
      <c r="M13" s="52" t="s">
        <v>85</v>
      </c>
      <c r="N13" s="52" t="s">
        <v>85</v>
      </c>
      <c r="O13" s="14">
        <v>20</v>
      </c>
      <c r="P13" s="71"/>
    </row>
    <row r="14" spans="1:16" s="80" customFormat="1" ht="13.8" x14ac:dyDescent="0.25">
      <c r="A14" s="62" t="s">
        <v>227</v>
      </c>
      <c r="B14" s="51" t="s">
        <v>228</v>
      </c>
      <c r="C14" s="75">
        <v>0.43554542123374967</v>
      </c>
      <c r="D14" s="52">
        <v>1949</v>
      </c>
      <c r="E14" s="53">
        <v>104</v>
      </c>
      <c r="F14" s="60">
        <v>368</v>
      </c>
      <c r="G14" s="55">
        <v>2151.7624999999998</v>
      </c>
      <c r="H14" s="55">
        <v>0.36918878223226048</v>
      </c>
      <c r="I14" s="55">
        <v>0.75</v>
      </c>
      <c r="J14" s="55">
        <v>250.63750000000002</v>
      </c>
      <c r="K14" s="56">
        <v>135</v>
      </c>
      <c r="L14" s="55">
        <v>1.8565740740740742</v>
      </c>
      <c r="M14" s="52" t="s">
        <v>85</v>
      </c>
      <c r="N14" s="52" t="s">
        <v>85</v>
      </c>
      <c r="O14" s="14">
        <v>37</v>
      </c>
      <c r="P14" s="71"/>
    </row>
    <row r="15" spans="1:16" s="80" customFormat="1" ht="13.8" x14ac:dyDescent="0.25">
      <c r="A15" s="62" t="s">
        <v>229</v>
      </c>
      <c r="B15" s="51" t="s">
        <v>230</v>
      </c>
      <c r="C15" s="75">
        <v>0.44709278405838587</v>
      </c>
      <c r="D15" s="52">
        <v>1949</v>
      </c>
      <c r="E15" s="53">
        <v>104</v>
      </c>
      <c r="F15" s="60">
        <v>368</v>
      </c>
      <c r="G15" s="55">
        <v>1844.6624999999999</v>
      </c>
      <c r="H15" s="55">
        <v>0.38361879666227494</v>
      </c>
      <c r="I15" s="55">
        <v>0.75</v>
      </c>
      <c r="J15" s="55">
        <v>214.53750000000002</v>
      </c>
      <c r="K15" s="56">
        <v>137</v>
      </c>
      <c r="L15" s="55">
        <v>1.5659671532846717</v>
      </c>
      <c r="M15" s="52" t="s">
        <v>85</v>
      </c>
      <c r="N15" s="52" t="s">
        <v>85</v>
      </c>
      <c r="O15" s="14">
        <v>37</v>
      </c>
      <c r="P15" s="71"/>
    </row>
    <row r="16" spans="1:16" s="80" customFormat="1" ht="13.8" x14ac:dyDescent="0.25">
      <c r="A16" s="50" t="s">
        <v>233</v>
      </c>
      <c r="B16" s="51" t="s">
        <v>234</v>
      </c>
      <c r="C16" s="75">
        <v>0.42114555614688665</v>
      </c>
      <c r="D16" s="52">
        <v>1946</v>
      </c>
      <c r="E16" s="53">
        <v>86</v>
      </c>
      <c r="F16" s="54">
        <v>230</v>
      </c>
      <c r="G16" s="55">
        <v>1303.875</v>
      </c>
      <c r="H16" s="55">
        <v>0.49512516469038209</v>
      </c>
      <c r="I16" s="55">
        <v>0.55000000000000004</v>
      </c>
      <c r="J16" s="55">
        <v>115.125</v>
      </c>
      <c r="K16" s="56">
        <v>57</v>
      </c>
      <c r="L16" s="55">
        <v>2.0197368421052633</v>
      </c>
      <c r="M16" s="52" t="s">
        <v>85</v>
      </c>
      <c r="N16" s="52" t="s">
        <v>85</v>
      </c>
      <c r="O16" s="14">
        <v>20</v>
      </c>
      <c r="P16" s="71"/>
    </row>
    <row r="17" spans="1:16" s="80" customFormat="1" ht="13.8" x14ac:dyDescent="0.25">
      <c r="A17" s="50" t="s">
        <v>235</v>
      </c>
      <c r="B17" s="51" t="s">
        <v>236</v>
      </c>
      <c r="C17" s="75">
        <v>0.42114555614688665</v>
      </c>
      <c r="D17" s="52">
        <v>1946</v>
      </c>
      <c r="E17" s="53">
        <v>86</v>
      </c>
      <c r="F17" s="54">
        <v>230</v>
      </c>
      <c r="G17" s="55">
        <v>1303.875</v>
      </c>
      <c r="H17" s="55">
        <v>0.49512516469038209</v>
      </c>
      <c r="I17" s="55">
        <v>0.55000000000000004</v>
      </c>
      <c r="J17" s="55">
        <v>115.125</v>
      </c>
      <c r="K17" s="56">
        <v>60</v>
      </c>
      <c r="L17" s="55">
        <v>1.91875</v>
      </c>
      <c r="M17" s="52" t="s">
        <v>85</v>
      </c>
      <c r="N17" s="52" t="s">
        <v>85</v>
      </c>
      <c r="O17" s="14">
        <v>20</v>
      </c>
      <c r="P17" s="71"/>
    </row>
    <row r="18" spans="1:16" s="80" customFormat="1" ht="13.8" x14ac:dyDescent="0.25">
      <c r="A18" s="50" t="s">
        <v>237</v>
      </c>
      <c r="B18" s="51" t="s">
        <v>238</v>
      </c>
      <c r="C18" s="75">
        <v>0.42114555614688665</v>
      </c>
      <c r="D18" s="52">
        <v>1946</v>
      </c>
      <c r="E18" s="53">
        <v>86</v>
      </c>
      <c r="F18" s="54">
        <v>230</v>
      </c>
      <c r="G18" s="55">
        <v>1303.875</v>
      </c>
      <c r="H18" s="55">
        <v>0.49512516469038209</v>
      </c>
      <c r="I18" s="55">
        <v>0.55000000000000004</v>
      </c>
      <c r="J18" s="55">
        <v>115.125</v>
      </c>
      <c r="K18" s="56">
        <v>59</v>
      </c>
      <c r="L18" s="55">
        <v>1.951271186440678</v>
      </c>
      <c r="M18" s="52" t="s">
        <v>85</v>
      </c>
      <c r="N18" s="52" t="s">
        <v>85</v>
      </c>
      <c r="O18" s="14">
        <v>20</v>
      </c>
      <c r="P18" s="71"/>
    </row>
    <row r="19" spans="1:16" s="80" customFormat="1" ht="13.8" x14ac:dyDescent="0.25">
      <c r="A19" s="50" t="s">
        <v>239</v>
      </c>
      <c r="B19" s="51" t="s">
        <v>240</v>
      </c>
      <c r="C19" s="75">
        <v>0.42114555614688665</v>
      </c>
      <c r="D19" s="52">
        <v>1946</v>
      </c>
      <c r="E19" s="53">
        <v>86</v>
      </c>
      <c r="F19" s="54">
        <v>230</v>
      </c>
      <c r="G19" s="55">
        <v>1303.875</v>
      </c>
      <c r="H19" s="55">
        <v>0.49512516469038209</v>
      </c>
      <c r="I19" s="55">
        <v>0.55000000000000004</v>
      </c>
      <c r="J19" s="55">
        <v>115.125</v>
      </c>
      <c r="K19" s="56">
        <v>57</v>
      </c>
      <c r="L19" s="55">
        <v>2.0197368421052633</v>
      </c>
      <c r="M19" s="52" t="s">
        <v>85</v>
      </c>
      <c r="N19" s="52" t="s">
        <v>85</v>
      </c>
      <c r="O19" s="14">
        <v>20</v>
      </c>
      <c r="P19" s="71"/>
    </row>
    <row r="20" spans="1:16" s="80" customFormat="1" ht="13.8" x14ac:dyDescent="0.25">
      <c r="A20" s="50" t="s">
        <v>241</v>
      </c>
      <c r="B20" s="51" t="s">
        <v>242</v>
      </c>
      <c r="C20" s="75">
        <v>0.42114555614688665</v>
      </c>
      <c r="D20" s="52">
        <v>1946</v>
      </c>
      <c r="E20" s="53">
        <v>86</v>
      </c>
      <c r="F20" s="54">
        <v>230</v>
      </c>
      <c r="G20" s="55">
        <v>1303.875</v>
      </c>
      <c r="H20" s="55">
        <v>0.49512516469038209</v>
      </c>
      <c r="I20" s="55">
        <v>0.55000000000000004</v>
      </c>
      <c r="J20" s="55">
        <v>115.125</v>
      </c>
      <c r="K20" s="56">
        <v>59</v>
      </c>
      <c r="L20" s="55">
        <v>1.951271186440678</v>
      </c>
      <c r="M20" s="52" t="s">
        <v>85</v>
      </c>
      <c r="N20" s="52" t="s">
        <v>85</v>
      </c>
      <c r="O20" s="14">
        <v>20</v>
      </c>
      <c r="P20" s="71"/>
    </row>
    <row r="21" spans="1:16" s="80" customFormat="1" ht="13.8" x14ac:dyDescent="0.25">
      <c r="A21" s="50" t="s">
        <v>243</v>
      </c>
      <c r="B21" s="51" t="s">
        <v>244</v>
      </c>
      <c r="C21" s="75">
        <v>0.47988076341647778</v>
      </c>
      <c r="D21" s="52">
        <v>1946</v>
      </c>
      <c r="E21" s="53">
        <v>280</v>
      </c>
      <c r="F21" s="54">
        <v>1197</v>
      </c>
      <c r="G21" s="55">
        <v>4836.9749999999985</v>
      </c>
      <c r="H21" s="55">
        <v>0.3349282296650718</v>
      </c>
      <c r="I21" s="55">
        <v>0.75</v>
      </c>
      <c r="J21" s="55">
        <v>707.02500000000009</v>
      </c>
      <c r="K21" s="56">
        <v>389</v>
      </c>
      <c r="L21" s="55">
        <v>1.8175449871465299</v>
      </c>
      <c r="M21" s="52" t="s">
        <v>85</v>
      </c>
      <c r="N21" s="52" t="s">
        <v>85</v>
      </c>
      <c r="O21" s="14">
        <v>105</v>
      </c>
      <c r="P21" s="71"/>
    </row>
    <row r="22" spans="1:16" s="80" customFormat="1" ht="13.8" x14ac:dyDescent="0.25">
      <c r="A22" s="65" t="s">
        <v>323</v>
      </c>
      <c r="B22" s="51" t="s">
        <v>324</v>
      </c>
      <c r="C22" s="75">
        <v>0.49885834733557372</v>
      </c>
      <c r="D22" s="52">
        <v>1950</v>
      </c>
      <c r="E22" s="53">
        <v>188</v>
      </c>
      <c r="F22" s="54">
        <v>1064</v>
      </c>
      <c r="G22" s="55">
        <v>5125.5625</v>
      </c>
      <c r="H22" s="55">
        <v>0.23729778992936887</v>
      </c>
      <c r="I22" s="55">
        <v>0.75</v>
      </c>
      <c r="J22" s="55">
        <v>1078.4375</v>
      </c>
      <c r="K22" s="56">
        <v>575</v>
      </c>
      <c r="L22" s="55">
        <v>1.8755434782608695</v>
      </c>
      <c r="M22" s="52" t="s">
        <v>150</v>
      </c>
      <c r="N22" s="52" t="s">
        <v>85</v>
      </c>
      <c r="O22" s="14">
        <v>100</v>
      </c>
      <c r="P22" s="71"/>
    </row>
    <row r="23" spans="1:16" s="80" customFormat="1" ht="13.8" x14ac:dyDescent="0.25">
      <c r="A23" s="65" t="s">
        <v>325</v>
      </c>
      <c r="B23" s="51" t="s">
        <v>326</v>
      </c>
      <c r="C23" s="75">
        <v>0.46821733668341703</v>
      </c>
      <c r="D23" s="52">
        <v>1950</v>
      </c>
      <c r="E23" s="53">
        <v>140</v>
      </c>
      <c r="F23" s="54">
        <v>675</v>
      </c>
      <c r="G23" s="55">
        <v>3934.875</v>
      </c>
      <c r="H23" s="55">
        <v>0.26801346801346804</v>
      </c>
      <c r="I23" s="55">
        <v>0.75</v>
      </c>
      <c r="J23" s="55">
        <v>685.125</v>
      </c>
      <c r="K23" s="56">
        <v>361</v>
      </c>
      <c r="L23" s="55">
        <v>1.8978531855955678</v>
      </c>
      <c r="M23" s="52" t="s">
        <v>85</v>
      </c>
      <c r="N23" s="52" t="s">
        <v>85</v>
      </c>
      <c r="O23" s="14">
        <v>78</v>
      </c>
      <c r="P23" s="71"/>
    </row>
    <row r="24" spans="1:16" s="80" customFormat="1" ht="13.8" x14ac:dyDescent="0.25">
      <c r="A24" s="65" t="s">
        <v>327</v>
      </c>
      <c r="B24" s="51" t="s">
        <v>328</v>
      </c>
      <c r="C24" s="75">
        <v>0.49445418374728717</v>
      </c>
      <c r="D24" s="52">
        <v>1950</v>
      </c>
      <c r="E24" s="53">
        <v>83</v>
      </c>
      <c r="F24" s="54">
        <v>352</v>
      </c>
      <c r="G24" s="55">
        <v>1194.5625</v>
      </c>
      <c r="H24" s="55">
        <v>0.35700757575757575</v>
      </c>
      <c r="I24" s="55">
        <v>0.75</v>
      </c>
      <c r="J24" s="55">
        <v>174.9375</v>
      </c>
      <c r="K24" s="56">
        <v>121</v>
      </c>
      <c r="L24" s="55">
        <v>1.4457644628099173</v>
      </c>
      <c r="M24" s="52" t="s">
        <v>85</v>
      </c>
      <c r="N24" s="52" t="s">
        <v>85</v>
      </c>
      <c r="O24" s="14">
        <v>20</v>
      </c>
      <c r="P24" s="71"/>
    </row>
    <row r="25" spans="1:16" s="80" customFormat="1" ht="13.8" x14ac:dyDescent="0.25">
      <c r="A25" s="57">
        <v>141</v>
      </c>
      <c r="B25" s="51" t="s">
        <v>355</v>
      </c>
      <c r="C25" s="75">
        <v>0.47561089341692792</v>
      </c>
      <c r="D25" s="52">
        <v>1946</v>
      </c>
      <c r="E25" s="53">
        <v>100</v>
      </c>
      <c r="F25" s="54">
        <v>440</v>
      </c>
      <c r="G25" s="55">
        <v>1998.8125</v>
      </c>
      <c r="H25" s="55">
        <v>0.31385281385281388</v>
      </c>
      <c r="I25" s="55">
        <v>0.75</v>
      </c>
      <c r="J25" s="55">
        <v>311.1875</v>
      </c>
      <c r="K25" s="56">
        <v>163</v>
      </c>
      <c r="L25" s="55">
        <v>1.9091257668711656</v>
      </c>
      <c r="M25" s="52" t="s">
        <v>85</v>
      </c>
      <c r="N25" s="52" t="s">
        <v>85</v>
      </c>
      <c r="O25" s="14">
        <v>45</v>
      </c>
      <c r="P25" s="71"/>
    </row>
    <row r="26" spans="1:16" s="80" customFormat="1" ht="13.8" x14ac:dyDescent="0.25">
      <c r="A26" s="61">
        <v>160</v>
      </c>
      <c r="B26" s="51" t="s">
        <v>375</v>
      </c>
      <c r="C26" s="75">
        <v>0.47936270974109785</v>
      </c>
      <c r="D26" s="52">
        <v>1946</v>
      </c>
      <c r="E26" s="53">
        <v>123</v>
      </c>
      <c r="F26" s="54">
        <v>555</v>
      </c>
      <c r="G26" s="55">
        <v>2451.5812499999997</v>
      </c>
      <c r="H26" s="55">
        <v>0.30820170820170822</v>
      </c>
      <c r="I26" s="55">
        <v>0.75</v>
      </c>
      <c r="J26" s="55">
        <v>389.71875</v>
      </c>
      <c r="K26" s="56">
        <v>268</v>
      </c>
      <c r="L26" s="55">
        <v>1.4541744402985075</v>
      </c>
      <c r="M26" s="52" t="s">
        <v>85</v>
      </c>
      <c r="N26" s="52" t="s">
        <v>85</v>
      </c>
      <c r="O26" s="14">
        <v>42</v>
      </c>
      <c r="P26" s="71"/>
    </row>
    <row r="27" spans="1:16" s="80" customFormat="1" ht="13.8" x14ac:dyDescent="0.25">
      <c r="A27" s="61">
        <v>162</v>
      </c>
      <c r="B27" s="51" t="s">
        <v>377</v>
      </c>
      <c r="C27" s="75">
        <v>0.48674512987012991</v>
      </c>
      <c r="D27" s="52">
        <v>1946</v>
      </c>
      <c r="E27" s="53">
        <v>122</v>
      </c>
      <c r="F27" s="54">
        <v>495</v>
      </c>
      <c r="G27" s="55">
        <v>1767.09375</v>
      </c>
      <c r="H27" s="55">
        <v>0.36767676767676766</v>
      </c>
      <c r="I27" s="55">
        <v>0.75</v>
      </c>
      <c r="J27" s="55">
        <v>245.90625</v>
      </c>
      <c r="K27" s="56">
        <v>171</v>
      </c>
      <c r="L27" s="55">
        <v>1.4380482456140351</v>
      </c>
      <c r="M27" s="52" t="s">
        <v>85</v>
      </c>
      <c r="N27" s="52" t="s">
        <v>85</v>
      </c>
      <c r="O27" s="14">
        <v>30</v>
      </c>
      <c r="P27" s="71"/>
    </row>
    <row r="28" spans="1:16" s="80" customFormat="1" ht="13.8" x14ac:dyDescent="0.25">
      <c r="A28" s="61">
        <v>163</v>
      </c>
      <c r="B28" s="51" t="s">
        <v>378</v>
      </c>
      <c r="C28" s="75">
        <v>0.47551626256652868</v>
      </c>
      <c r="D28" s="52">
        <v>1946</v>
      </c>
      <c r="E28" s="53">
        <v>105</v>
      </c>
      <c r="F28" s="54">
        <v>402</v>
      </c>
      <c r="G28" s="55">
        <v>1536</v>
      </c>
      <c r="H28" s="55">
        <v>0.38240615106286746</v>
      </c>
      <c r="I28" s="55">
        <v>0.75</v>
      </c>
      <c r="J28" s="55">
        <v>196.5</v>
      </c>
      <c r="K28" s="56">
        <v>139</v>
      </c>
      <c r="L28" s="55">
        <v>1.4136690647482015</v>
      </c>
      <c r="M28" s="52" t="s">
        <v>85</v>
      </c>
      <c r="N28" s="52" t="s">
        <v>85</v>
      </c>
      <c r="O28" s="14">
        <v>30</v>
      </c>
      <c r="P28" s="71"/>
    </row>
    <row r="29" spans="1:16" s="80" customFormat="1" ht="13.8" x14ac:dyDescent="0.25">
      <c r="A29" s="61">
        <v>164</v>
      </c>
      <c r="B29" s="51" t="s">
        <v>379</v>
      </c>
      <c r="C29" s="75">
        <v>0.48158833248601934</v>
      </c>
      <c r="D29" s="52">
        <v>1946</v>
      </c>
      <c r="E29" s="53">
        <v>121</v>
      </c>
      <c r="F29" s="54">
        <v>477</v>
      </c>
      <c r="G29" s="55">
        <v>1760.15625</v>
      </c>
      <c r="H29" s="55">
        <v>0.37488088431484656</v>
      </c>
      <c r="I29" s="55">
        <v>0.75</v>
      </c>
      <c r="J29" s="55">
        <v>236.34375</v>
      </c>
      <c r="K29" s="56">
        <v>134</v>
      </c>
      <c r="L29" s="55">
        <v>1.7637593283582089</v>
      </c>
      <c r="M29" s="52" t="s">
        <v>85</v>
      </c>
      <c r="N29" s="52" t="s">
        <v>85</v>
      </c>
      <c r="O29" s="14">
        <v>30</v>
      </c>
      <c r="P29" s="71"/>
    </row>
    <row r="30" spans="1:16" s="80" customFormat="1" ht="13.8" x14ac:dyDescent="0.25">
      <c r="A30" s="61">
        <v>165</v>
      </c>
      <c r="B30" s="51" t="s">
        <v>380</v>
      </c>
      <c r="C30" s="75">
        <v>0.48158833248601934</v>
      </c>
      <c r="D30" s="52">
        <v>1946</v>
      </c>
      <c r="E30" s="53">
        <v>121</v>
      </c>
      <c r="F30" s="54">
        <v>477</v>
      </c>
      <c r="G30" s="55">
        <v>1760.15625</v>
      </c>
      <c r="H30" s="55">
        <v>0.37488088431484656</v>
      </c>
      <c r="I30" s="55">
        <v>0.75</v>
      </c>
      <c r="J30" s="55">
        <v>236.34375</v>
      </c>
      <c r="K30" s="56">
        <v>168</v>
      </c>
      <c r="L30" s="55">
        <v>1.4068080357142858</v>
      </c>
      <c r="M30" s="52" t="s">
        <v>85</v>
      </c>
      <c r="N30" s="52" t="s">
        <v>85</v>
      </c>
      <c r="O30" s="14">
        <v>30</v>
      </c>
      <c r="P30" s="71"/>
    </row>
    <row r="31" spans="1:16" s="80" customFormat="1" ht="13.8" x14ac:dyDescent="0.25">
      <c r="A31" s="61">
        <v>166</v>
      </c>
      <c r="B31" s="51" t="s">
        <v>381</v>
      </c>
      <c r="C31" s="75">
        <v>0.42769916115912548</v>
      </c>
      <c r="D31" s="52">
        <v>1946</v>
      </c>
      <c r="E31" s="53">
        <v>121</v>
      </c>
      <c r="F31" s="54">
        <v>477</v>
      </c>
      <c r="G31" s="55">
        <v>1910.15625</v>
      </c>
      <c r="H31" s="55">
        <v>0.37488088431484656</v>
      </c>
      <c r="I31" s="55">
        <v>0.75</v>
      </c>
      <c r="J31" s="55">
        <v>86.34375</v>
      </c>
      <c r="K31" s="56">
        <v>60</v>
      </c>
      <c r="L31" s="55">
        <v>1.4390624999999999</v>
      </c>
      <c r="M31" s="52" t="s">
        <v>85</v>
      </c>
      <c r="N31" s="52" t="s">
        <v>85</v>
      </c>
      <c r="O31" s="14">
        <v>30</v>
      </c>
      <c r="P31" s="71"/>
    </row>
    <row r="32" spans="1:16" s="80" customFormat="1" ht="13.8" x14ac:dyDescent="0.25">
      <c r="A32" s="61">
        <v>167</v>
      </c>
      <c r="B32" s="51" t="s">
        <v>382</v>
      </c>
      <c r="C32" s="75">
        <v>0.48158833248601934</v>
      </c>
      <c r="D32" s="52">
        <v>1946</v>
      </c>
      <c r="E32" s="53">
        <v>121</v>
      </c>
      <c r="F32" s="54">
        <v>477</v>
      </c>
      <c r="G32" s="55">
        <v>1760.15625</v>
      </c>
      <c r="H32" s="55">
        <v>0.37488088431484656</v>
      </c>
      <c r="I32" s="55">
        <v>0.75</v>
      </c>
      <c r="J32" s="55">
        <v>236.34375</v>
      </c>
      <c r="K32" s="56">
        <v>171</v>
      </c>
      <c r="L32" s="55">
        <v>1.3821271929824561</v>
      </c>
      <c r="M32" s="52" t="s">
        <v>85</v>
      </c>
      <c r="N32" s="52" t="s">
        <v>85</v>
      </c>
      <c r="O32" s="14">
        <v>30</v>
      </c>
      <c r="P32" s="71"/>
    </row>
    <row r="33" spans="1:16" s="80" customFormat="1" ht="13.8" x14ac:dyDescent="0.25">
      <c r="A33" s="61">
        <v>168</v>
      </c>
      <c r="B33" s="51" t="s">
        <v>383</v>
      </c>
      <c r="C33" s="75">
        <v>0.48158833248601934</v>
      </c>
      <c r="D33" s="52">
        <v>1946</v>
      </c>
      <c r="E33" s="53">
        <v>121</v>
      </c>
      <c r="F33" s="54">
        <v>477</v>
      </c>
      <c r="G33" s="55">
        <v>1760.15625</v>
      </c>
      <c r="H33" s="55">
        <v>0.37488088431484656</v>
      </c>
      <c r="I33" s="55">
        <v>0.75</v>
      </c>
      <c r="J33" s="55">
        <v>236.34375</v>
      </c>
      <c r="K33" s="56">
        <v>164</v>
      </c>
      <c r="L33" s="55">
        <v>1.4411204268292683</v>
      </c>
      <c r="M33" s="52" t="s">
        <v>85</v>
      </c>
      <c r="N33" s="52" t="s">
        <v>85</v>
      </c>
      <c r="O33" s="14">
        <v>30</v>
      </c>
      <c r="P33" s="71"/>
    </row>
    <row r="34" spans="1:16" s="80" customFormat="1" ht="13.8" x14ac:dyDescent="0.25">
      <c r="A34" s="61">
        <v>169</v>
      </c>
      <c r="B34" s="51" t="s">
        <v>384</v>
      </c>
      <c r="C34" s="75">
        <v>0.48158833248601934</v>
      </c>
      <c r="D34" s="52">
        <v>1946</v>
      </c>
      <c r="E34" s="53">
        <v>121</v>
      </c>
      <c r="F34" s="54">
        <v>477</v>
      </c>
      <c r="G34" s="55">
        <v>1760.15625</v>
      </c>
      <c r="H34" s="55">
        <v>0.37488088431484656</v>
      </c>
      <c r="I34" s="55">
        <v>0.75</v>
      </c>
      <c r="J34" s="55">
        <v>236.34375</v>
      </c>
      <c r="K34" s="56">
        <v>168</v>
      </c>
      <c r="L34" s="55">
        <v>1.4068080357142858</v>
      </c>
      <c r="M34" s="52" t="s">
        <v>85</v>
      </c>
      <c r="N34" s="52" t="s">
        <v>85</v>
      </c>
      <c r="O34" s="14">
        <v>30</v>
      </c>
      <c r="P34" s="71"/>
    </row>
    <row r="35" spans="1:16" s="80" customFormat="1" ht="13.8" x14ac:dyDescent="0.25">
      <c r="A35" s="62">
        <v>193</v>
      </c>
      <c r="B35" s="51" t="s">
        <v>408</v>
      </c>
      <c r="C35" s="75">
        <v>0.46667652224824357</v>
      </c>
      <c r="D35" s="52">
        <v>1946</v>
      </c>
      <c r="E35" s="53">
        <v>90</v>
      </c>
      <c r="F35" s="54">
        <v>325</v>
      </c>
      <c r="G35" s="55">
        <v>1324.40625</v>
      </c>
      <c r="H35" s="55">
        <v>0.39813519813519815</v>
      </c>
      <c r="I35" s="55">
        <v>0.55000000000000004</v>
      </c>
      <c r="J35" s="55">
        <v>160.59375</v>
      </c>
      <c r="K35" s="56">
        <v>115</v>
      </c>
      <c r="L35" s="55">
        <v>1.3964673913043477</v>
      </c>
      <c r="M35" s="52" t="s">
        <v>85</v>
      </c>
      <c r="N35" s="52" t="s">
        <v>85</v>
      </c>
      <c r="O35" s="14">
        <v>20</v>
      </c>
      <c r="P35" s="71"/>
    </row>
    <row r="36" spans="1:16" s="80" customFormat="1" ht="13.8" x14ac:dyDescent="0.25">
      <c r="A36" s="61">
        <v>205</v>
      </c>
      <c r="B36" s="51" t="s">
        <v>421</v>
      </c>
      <c r="C36" s="75">
        <v>0.48674022428185865</v>
      </c>
      <c r="D36" s="52">
        <v>1946</v>
      </c>
      <c r="E36" s="53">
        <v>147</v>
      </c>
      <c r="F36" s="54">
        <v>692</v>
      </c>
      <c r="G36" s="55">
        <v>2911.0874999999996</v>
      </c>
      <c r="H36" s="55">
        <v>0.29900783224482647</v>
      </c>
      <c r="I36" s="55">
        <v>0.75</v>
      </c>
      <c r="J36" s="55">
        <v>484.61250000000007</v>
      </c>
      <c r="K36" s="56">
        <v>333</v>
      </c>
      <c r="L36" s="55">
        <v>1.455292792792793</v>
      </c>
      <c r="M36" s="52" t="s">
        <v>85</v>
      </c>
      <c r="N36" s="52" t="s">
        <v>85</v>
      </c>
      <c r="O36" s="14">
        <v>56</v>
      </c>
      <c r="P36" s="71"/>
    </row>
    <row r="37" spans="1:16" s="80" customFormat="1" ht="13.8" x14ac:dyDescent="0.25">
      <c r="A37" s="59">
        <v>206</v>
      </c>
      <c r="B37" s="51" t="s">
        <v>422</v>
      </c>
      <c r="C37" s="75">
        <v>0.47167201403148529</v>
      </c>
      <c r="D37" s="52">
        <v>1946</v>
      </c>
      <c r="E37" s="53">
        <v>59</v>
      </c>
      <c r="F37" s="54">
        <v>195</v>
      </c>
      <c r="G37" s="55">
        <v>701.98749999999995</v>
      </c>
      <c r="H37" s="55">
        <v>0.45407925407925404</v>
      </c>
      <c r="I37" s="55">
        <v>0.55000000000000004</v>
      </c>
      <c r="J37" s="55">
        <v>76.8125</v>
      </c>
      <c r="K37" s="58">
        <v>70</v>
      </c>
      <c r="L37" s="55">
        <v>1.0973214285714286</v>
      </c>
      <c r="M37" s="52" t="s">
        <v>85</v>
      </c>
      <c r="N37" s="52" t="s">
        <v>85</v>
      </c>
      <c r="O37" s="14">
        <v>9</v>
      </c>
      <c r="P37" s="71"/>
    </row>
    <row r="38" spans="1:16" s="80" customFormat="1" ht="13.8" x14ac:dyDescent="0.25">
      <c r="A38" s="59">
        <v>207</v>
      </c>
      <c r="B38" s="51" t="s">
        <v>423</v>
      </c>
      <c r="C38" s="75">
        <v>0.53266417910447761</v>
      </c>
      <c r="D38" s="52">
        <v>1946</v>
      </c>
      <c r="E38" s="53">
        <v>95</v>
      </c>
      <c r="F38" s="54">
        <v>384</v>
      </c>
      <c r="G38" s="55">
        <v>826.16249999999991</v>
      </c>
      <c r="H38" s="55">
        <v>0.44941603535353541</v>
      </c>
      <c r="I38" s="55">
        <v>0.55000000000000004</v>
      </c>
      <c r="J38" s="55">
        <v>114.33749999999999</v>
      </c>
      <c r="K38" s="56">
        <v>104</v>
      </c>
      <c r="L38" s="55">
        <v>1.0993990384615384</v>
      </c>
      <c r="M38" s="52" t="s">
        <v>85</v>
      </c>
      <c r="N38" s="52" t="s">
        <v>85</v>
      </c>
      <c r="O38" s="14">
        <v>14</v>
      </c>
      <c r="P38" s="71"/>
    </row>
    <row r="39" spans="1:16" s="80" customFormat="1" ht="13.8" x14ac:dyDescent="0.25">
      <c r="A39" s="59">
        <v>208</v>
      </c>
      <c r="B39" s="51" t="s">
        <v>424</v>
      </c>
      <c r="C39" s="75">
        <v>0.53452546093064091</v>
      </c>
      <c r="D39" s="52">
        <v>1946</v>
      </c>
      <c r="E39" s="53">
        <v>95</v>
      </c>
      <c r="F39" s="54">
        <v>384</v>
      </c>
      <c r="G39" s="55">
        <v>823.16249999999991</v>
      </c>
      <c r="H39" s="55">
        <v>0.44941603535353541</v>
      </c>
      <c r="I39" s="55">
        <v>0.55000000000000004</v>
      </c>
      <c r="J39" s="55">
        <v>117.33749999999999</v>
      </c>
      <c r="K39" s="56">
        <v>105</v>
      </c>
      <c r="L39" s="55">
        <v>1.1174999999999999</v>
      </c>
      <c r="M39" s="52" t="s">
        <v>85</v>
      </c>
      <c r="N39" s="52" t="s">
        <v>85</v>
      </c>
      <c r="O39" s="14">
        <v>7</v>
      </c>
      <c r="P39" s="71"/>
    </row>
    <row r="40" spans="1:16" s="80" customFormat="1" ht="13.8" x14ac:dyDescent="0.25">
      <c r="A40" s="61">
        <v>209</v>
      </c>
      <c r="B40" s="51" t="s">
        <v>425</v>
      </c>
      <c r="C40" s="75">
        <v>0.49382353543629665</v>
      </c>
      <c r="D40" s="52">
        <v>1949</v>
      </c>
      <c r="E40" s="53">
        <v>98</v>
      </c>
      <c r="F40" s="54">
        <v>412</v>
      </c>
      <c r="G40" s="55">
        <v>1410.1875</v>
      </c>
      <c r="H40" s="55">
        <v>0.35907619888202413</v>
      </c>
      <c r="I40" s="55">
        <v>0.75</v>
      </c>
      <c r="J40" s="55">
        <v>206.8125</v>
      </c>
      <c r="K40" s="56">
        <v>142</v>
      </c>
      <c r="L40" s="55">
        <v>1.4564260563380282</v>
      </c>
      <c r="M40" s="52" t="s">
        <v>85</v>
      </c>
      <c r="N40" s="52" t="s">
        <v>85</v>
      </c>
      <c r="O40" s="14">
        <v>25</v>
      </c>
      <c r="P40" s="71"/>
    </row>
    <row r="41" spans="1:16" s="80" customFormat="1" ht="13.8" x14ac:dyDescent="0.25">
      <c r="A41" s="61">
        <v>210</v>
      </c>
      <c r="B41" s="51" t="s">
        <v>426</v>
      </c>
      <c r="C41" s="75">
        <v>0.51782804805987781</v>
      </c>
      <c r="D41" s="52">
        <v>1949</v>
      </c>
      <c r="E41" s="53">
        <v>194</v>
      </c>
      <c r="F41" s="54">
        <v>938</v>
      </c>
      <c r="G41" s="55">
        <v>2734.75</v>
      </c>
      <c r="H41" s="55">
        <v>0.32803514893067132</v>
      </c>
      <c r="I41" s="55">
        <v>0.75</v>
      </c>
      <c r="J41" s="55">
        <v>466.25</v>
      </c>
      <c r="K41" s="56">
        <v>323</v>
      </c>
      <c r="L41" s="55">
        <v>1.4434984520123839</v>
      </c>
      <c r="M41" s="52" t="s">
        <v>85</v>
      </c>
      <c r="N41" s="52" t="s">
        <v>85</v>
      </c>
      <c r="O41" s="14">
        <v>60</v>
      </c>
      <c r="P41" s="71"/>
    </row>
    <row r="42" spans="1:16" s="80" customFormat="1" ht="13.8" x14ac:dyDescent="0.25">
      <c r="A42" s="61">
        <v>211</v>
      </c>
      <c r="B42" s="51" t="s">
        <v>427</v>
      </c>
      <c r="C42" s="75">
        <v>0.44432622028727597</v>
      </c>
      <c r="D42" s="52">
        <v>1949</v>
      </c>
      <c r="E42" s="53">
        <v>92</v>
      </c>
      <c r="F42" s="54">
        <v>359</v>
      </c>
      <c r="G42" s="55">
        <v>2141.7124999999996</v>
      </c>
      <c r="H42" s="55">
        <v>0.3320249852283278</v>
      </c>
      <c r="I42" s="55">
        <v>0.75</v>
      </c>
      <c r="J42" s="55">
        <v>287.08749999999998</v>
      </c>
      <c r="K42" s="56">
        <v>197</v>
      </c>
      <c r="L42" s="55">
        <v>1.4572969543147207</v>
      </c>
      <c r="M42" s="52" t="s">
        <v>85</v>
      </c>
      <c r="N42" s="52" t="s">
        <v>85</v>
      </c>
      <c r="O42" s="14">
        <v>32</v>
      </c>
      <c r="P42" s="71"/>
    </row>
    <row r="43" spans="1:16" s="80" customFormat="1" ht="13.8" x14ac:dyDescent="0.25">
      <c r="A43" s="59">
        <v>217</v>
      </c>
      <c r="B43" s="51" t="s">
        <v>433</v>
      </c>
      <c r="C43" s="75">
        <v>0.38152872428838563</v>
      </c>
      <c r="D43" s="52">
        <v>1958</v>
      </c>
      <c r="E43" s="53">
        <v>125</v>
      </c>
      <c r="F43" s="54">
        <v>344</v>
      </c>
      <c r="G43" s="55">
        <v>3771.5625</v>
      </c>
      <c r="H43" s="55">
        <v>0.4239781536293164</v>
      </c>
      <c r="I43" s="55">
        <v>0.55000000000000004</v>
      </c>
      <c r="J43" s="55">
        <v>353.4375</v>
      </c>
      <c r="K43" s="56">
        <v>236</v>
      </c>
      <c r="L43" s="55">
        <v>1.4976165254237288</v>
      </c>
      <c r="M43" s="52" t="s">
        <v>85</v>
      </c>
      <c r="N43" s="52" t="s">
        <v>85</v>
      </c>
      <c r="O43" s="14">
        <v>40</v>
      </c>
      <c r="P43" s="71"/>
    </row>
    <row r="44" spans="1:16" s="80" customFormat="1" ht="13.8" x14ac:dyDescent="0.25">
      <c r="A44" s="59">
        <v>218</v>
      </c>
      <c r="B44" s="51" t="s">
        <v>434</v>
      </c>
      <c r="C44" s="75">
        <v>0.38152872428838563</v>
      </c>
      <c r="D44" s="52">
        <v>1958</v>
      </c>
      <c r="E44" s="53">
        <v>125</v>
      </c>
      <c r="F44" s="54">
        <v>344</v>
      </c>
      <c r="G44" s="55">
        <v>3771.5625</v>
      </c>
      <c r="H44" s="55">
        <v>0.4239781536293164</v>
      </c>
      <c r="I44" s="55">
        <v>0.55000000000000004</v>
      </c>
      <c r="J44" s="55">
        <v>353.4375</v>
      </c>
      <c r="K44" s="56">
        <v>239</v>
      </c>
      <c r="L44" s="55">
        <v>1.4788179916317992</v>
      </c>
      <c r="M44" s="52" t="s">
        <v>85</v>
      </c>
      <c r="N44" s="52" t="s">
        <v>85</v>
      </c>
      <c r="O44" s="14">
        <v>40</v>
      </c>
      <c r="P44" s="71"/>
    </row>
    <row r="45" spans="1:16" s="80" customFormat="1" ht="13.8" x14ac:dyDescent="0.25">
      <c r="A45" s="59">
        <v>219</v>
      </c>
      <c r="B45" s="51" t="s">
        <v>435</v>
      </c>
      <c r="C45" s="75">
        <v>0.54041242324397187</v>
      </c>
      <c r="D45" s="52">
        <v>1958</v>
      </c>
      <c r="E45" s="53">
        <v>218</v>
      </c>
      <c r="F45" s="54">
        <v>924</v>
      </c>
      <c r="G45" s="55">
        <v>1883.7374999999997</v>
      </c>
      <c r="H45" s="55">
        <v>0.43795093795093798</v>
      </c>
      <c r="I45" s="55">
        <v>0.55000000000000004</v>
      </c>
      <c r="J45" s="55">
        <v>274.46249999999998</v>
      </c>
      <c r="K45" s="56">
        <v>191</v>
      </c>
      <c r="L45" s="55">
        <v>1.4369764397905758</v>
      </c>
      <c r="M45" s="52" t="s">
        <v>85</v>
      </c>
      <c r="N45" s="52" t="s">
        <v>85</v>
      </c>
      <c r="O45" s="14">
        <v>36</v>
      </c>
      <c r="P45" s="71"/>
    </row>
    <row r="46" spans="1:16" s="80" customFormat="1" ht="13.8" x14ac:dyDescent="0.25">
      <c r="A46" s="59">
        <v>220</v>
      </c>
      <c r="B46" s="51" t="s">
        <v>436</v>
      </c>
      <c r="C46" s="75">
        <v>0.51328893442622969</v>
      </c>
      <c r="D46" s="52">
        <v>1958</v>
      </c>
      <c r="E46" s="53">
        <v>142</v>
      </c>
      <c r="F46" s="54">
        <v>511</v>
      </c>
      <c r="G46" s="55">
        <v>1253.9812499999998</v>
      </c>
      <c r="H46" s="55">
        <v>0.47990669908478123</v>
      </c>
      <c r="I46" s="55">
        <v>0.55000000000000004</v>
      </c>
      <c r="J46" s="55">
        <v>151.81875000000002</v>
      </c>
      <c r="K46" s="56">
        <v>106</v>
      </c>
      <c r="L46" s="55">
        <v>1.4322523584905662</v>
      </c>
      <c r="M46" s="52" t="s">
        <v>85</v>
      </c>
      <c r="N46" s="52" t="s">
        <v>85</v>
      </c>
      <c r="O46" s="14">
        <v>18</v>
      </c>
      <c r="P46" s="71"/>
    </row>
    <row r="47" spans="1:16" s="80" customFormat="1" ht="13.8" x14ac:dyDescent="0.25">
      <c r="A47" s="59">
        <v>221</v>
      </c>
      <c r="B47" s="51" t="s">
        <v>437</v>
      </c>
      <c r="C47" s="75">
        <v>0.51690599652375446</v>
      </c>
      <c r="D47" s="52">
        <v>1958</v>
      </c>
      <c r="E47" s="53">
        <v>100</v>
      </c>
      <c r="F47" s="54">
        <v>368</v>
      </c>
      <c r="G47" s="55">
        <v>880.76249999999982</v>
      </c>
      <c r="H47" s="55">
        <v>0.47375933245498469</v>
      </c>
      <c r="I47" s="55">
        <v>0.55000000000000004</v>
      </c>
      <c r="J47" s="55">
        <v>109.23750000000001</v>
      </c>
      <c r="K47" s="58">
        <v>76</v>
      </c>
      <c r="L47" s="55">
        <v>1.4373355263157896</v>
      </c>
      <c r="M47" s="52" t="s">
        <v>85</v>
      </c>
      <c r="N47" s="52" t="s">
        <v>85</v>
      </c>
      <c r="O47" s="14">
        <v>12</v>
      </c>
      <c r="P47" s="71"/>
    </row>
    <row r="48" spans="1:16" s="80" customFormat="1" ht="13.8" x14ac:dyDescent="0.25">
      <c r="A48" s="61">
        <v>236</v>
      </c>
      <c r="B48" s="51" t="s">
        <v>451</v>
      </c>
      <c r="C48" s="75">
        <v>0.46168106967882422</v>
      </c>
      <c r="D48" s="52">
        <v>1946</v>
      </c>
      <c r="E48" s="53">
        <v>78</v>
      </c>
      <c r="F48" s="54">
        <v>275</v>
      </c>
      <c r="G48" s="55">
        <v>1152.96875</v>
      </c>
      <c r="H48" s="55">
        <v>0.40484848484848485</v>
      </c>
      <c r="I48" s="55">
        <v>0.55000000000000004</v>
      </c>
      <c r="J48" s="55">
        <v>134.03125</v>
      </c>
      <c r="K48" s="56">
        <v>100</v>
      </c>
      <c r="L48" s="55">
        <v>1.3403125</v>
      </c>
      <c r="M48" s="52" t="s">
        <v>85</v>
      </c>
      <c r="N48" s="52" t="s">
        <v>85</v>
      </c>
      <c r="O48" s="14">
        <v>20</v>
      </c>
      <c r="P48" s="71"/>
    </row>
    <row r="49" spans="1:16" s="80" customFormat="1" ht="13.8" x14ac:dyDescent="0.25">
      <c r="A49" s="61">
        <v>237</v>
      </c>
      <c r="B49" s="51" t="s">
        <v>452</v>
      </c>
      <c r="C49" s="75">
        <v>0.46168106967882422</v>
      </c>
      <c r="D49" s="52">
        <v>1946</v>
      </c>
      <c r="E49" s="53">
        <v>78</v>
      </c>
      <c r="F49" s="54">
        <v>275</v>
      </c>
      <c r="G49" s="55">
        <v>1152.96875</v>
      </c>
      <c r="H49" s="55">
        <v>0.40484848484848485</v>
      </c>
      <c r="I49" s="55">
        <v>0.55000000000000004</v>
      </c>
      <c r="J49" s="55">
        <v>134.03125</v>
      </c>
      <c r="K49" s="56">
        <v>98</v>
      </c>
      <c r="L49" s="55">
        <v>1.3676658163265305</v>
      </c>
      <c r="M49" s="52" t="s">
        <v>85</v>
      </c>
      <c r="N49" s="52" t="s">
        <v>85</v>
      </c>
      <c r="O49" s="14">
        <v>20</v>
      </c>
      <c r="P49" s="71"/>
    </row>
    <row r="50" spans="1:16" s="80" customFormat="1" ht="13.8" x14ac:dyDescent="0.25">
      <c r="A50" s="61">
        <v>242</v>
      </c>
      <c r="B50" s="51" t="s">
        <v>457</v>
      </c>
      <c r="C50" s="75">
        <v>0.49992655482815052</v>
      </c>
      <c r="D50" s="52">
        <v>1953</v>
      </c>
      <c r="E50" s="53">
        <v>175</v>
      </c>
      <c r="F50" s="54">
        <v>678</v>
      </c>
      <c r="G50" s="55">
        <v>2035.9124999999999</v>
      </c>
      <c r="H50" s="55">
        <v>0.40962724591043176</v>
      </c>
      <c r="I50" s="55">
        <v>0.55000000000000004</v>
      </c>
      <c r="J50" s="55">
        <v>274.08749999999998</v>
      </c>
      <c r="K50" s="56">
        <v>233</v>
      </c>
      <c r="L50" s="55">
        <v>1.1763412017167381</v>
      </c>
      <c r="M50" s="52" t="s">
        <v>351</v>
      </c>
      <c r="N50" s="52" t="s">
        <v>85</v>
      </c>
      <c r="O50" s="14">
        <v>24</v>
      </c>
      <c r="P50" s="71"/>
    </row>
    <row r="51" spans="1:16" s="80" customFormat="1" ht="13.8" x14ac:dyDescent="0.25">
      <c r="A51" s="61">
        <v>243</v>
      </c>
      <c r="B51" s="51" t="s">
        <v>458</v>
      </c>
      <c r="C51" s="75">
        <v>0.50225831505847951</v>
      </c>
      <c r="D51" s="52">
        <v>1953</v>
      </c>
      <c r="E51" s="53">
        <v>130</v>
      </c>
      <c r="F51" s="54">
        <v>510</v>
      </c>
      <c r="G51" s="55">
        <v>1509.3125</v>
      </c>
      <c r="H51" s="55">
        <v>0.40641711229946526</v>
      </c>
      <c r="I51" s="55">
        <v>0.55000000000000004</v>
      </c>
      <c r="J51" s="55">
        <v>206.6875</v>
      </c>
      <c r="K51" s="56">
        <v>175</v>
      </c>
      <c r="L51" s="55">
        <v>1.1810714285714285</v>
      </c>
      <c r="M51" s="52" t="s">
        <v>351</v>
      </c>
      <c r="N51" s="52" t="s">
        <v>85</v>
      </c>
      <c r="O51" s="14">
        <v>16</v>
      </c>
      <c r="P51" s="71"/>
    </row>
    <row r="52" spans="1:16" s="80" customFormat="1" ht="13.8" x14ac:dyDescent="0.25">
      <c r="A52" s="61">
        <v>244</v>
      </c>
      <c r="B52" s="51" t="s">
        <v>459</v>
      </c>
      <c r="C52" s="75">
        <v>0.50225831505847951</v>
      </c>
      <c r="D52" s="52">
        <v>1953</v>
      </c>
      <c r="E52" s="53">
        <v>130</v>
      </c>
      <c r="F52" s="54">
        <v>510</v>
      </c>
      <c r="G52" s="55">
        <v>1509.3125</v>
      </c>
      <c r="H52" s="55">
        <v>0.40641711229946526</v>
      </c>
      <c r="I52" s="55">
        <v>0.55000000000000004</v>
      </c>
      <c r="J52" s="55">
        <v>206.6875</v>
      </c>
      <c r="K52" s="56">
        <v>180</v>
      </c>
      <c r="L52" s="55">
        <v>1.148263888888889</v>
      </c>
      <c r="M52" s="52" t="s">
        <v>351</v>
      </c>
      <c r="N52" s="52" t="s">
        <v>85</v>
      </c>
      <c r="O52" s="14">
        <v>16</v>
      </c>
      <c r="P52" s="71"/>
    </row>
    <row r="53" spans="1:16" s="80" customFormat="1" ht="13.8" x14ac:dyDescent="0.25">
      <c r="A53" s="61">
        <v>245</v>
      </c>
      <c r="B53" s="51" t="s">
        <v>460</v>
      </c>
      <c r="C53" s="75">
        <v>0.49751375564334088</v>
      </c>
      <c r="D53" s="52">
        <v>1953</v>
      </c>
      <c r="E53" s="53">
        <v>170</v>
      </c>
      <c r="F53" s="54">
        <v>650</v>
      </c>
      <c r="G53" s="55">
        <v>1981.8125</v>
      </c>
      <c r="H53" s="55">
        <v>0.41305361305361304</v>
      </c>
      <c r="I53" s="55">
        <v>0.55000000000000004</v>
      </c>
      <c r="J53" s="55">
        <v>262.1875</v>
      </c>
      <c r="K53" s="56">
        <v>222</v>
      </c>
      <c r="L53" s="55">
        <v>1.1810247747747749</v>
      </c>
      <c r="M53" s="52" t="s">
        <v>351</v>
      </c>
      <c r="N53" s="52" t="s">
        <v>85</v>
      </c>
      <c r="O53" s="14">
        <v>24</v>
      </c>
      <c r="P53" s="71"/>
    </row>
    <row r="54" spans="1:16" s="80" customFormat="1" ht="13.8" x14ac:dyDescent="0.25">
      <c r="A54" s="59">
        <v>249</v>
      </c>
      <c r="B54" s="51" t="s">
        <v>464</v>
      </c>
      <c r="C54" s="75">
        <v>0.48389410444037917</v>
      </c>
      <c r="D54" s="52">
        <v>1946</v>
      </c>
      <c r="E54" s="53">
        <v>145</v>
      </c>
      <c r="F54" s="54">
        <v>614</v>
      </c>
      <c r="G54" s="55">
        <v>4144.6875</v>
      </c>
      <c r="H54" s="55">
        <v>0.29676241239759155</v>
      </c>
      <c r="I54" s="55">
        <v>0.75</v>
      </c>
      <c r="J54" s="55">
        <v>640.3125</v>
      </c>
      <c r="K54" s="56">
        <v>455</v>
      </c>
      <c r="L54" s="55">
        <v>1.4072802197802199</v>
      </c>
      <c r="M54" s="52" t="s">
        <v>150</v>
      </c>
      <c r="N54" s="52" t="s">
        <v>85</v>
      </c>
      <c r="O54" s="14">
        <v>7</v>
      </c>
      <c r="P54" s="71"/>
    </row>
    <row r="55" spans="1:16" s="80" customFormat="1" ht="13.8" x14ac:dyDescent="0.25">
      <c r="A55" s="59">
        <v>250</v>
      </c>
      <c r="B55" s="51" t="s">
        <v>465</v>
      </c>
      <c r="C55" s="75">
        <v>0.38489383347245409</v>
      </c>
      <c r="D55" s="52">
        <v>1946</v>
      </c>
      <c r="E55" s="53">
        <v>124</v>
      </c>
      <c r="F55" s="54">
        <v>350</v>
      </c>
      <c r="G55" s="55">
        <v>3732.1875</v>
      </c>
      <c r="H55" s="55">
        <v>0.41489177489177487</v>
      </c>
      <c r="I55" s="55">
        <v>0.55000000000000004</v>
      </c>
      <c r="J55" s="55">
        <v>359.8125</v>
      </c>
      <c r="K55" s="56">
        <v>240</v>
      </c>
      <c r="L55" s="55">
        <v>1.49921875</v>
      </c>
      <c r="M55" s="52" t="s">
        <v>85</v>
      </c>
      <c r="N55" s="52" t="s">
        <v>85</v>
      </c>
      <c r="O55" s="14">
        <v>40</v>
      </c>
      <c r="P55" s="71"/>
    </row>
    <row r="56" spans="1:16" s="80" customFormat="1" ht="13.8" x14ac:dyDescent="0.25">
      <c r="A56" s="59">
        <v>251</v>
      </c>
      <c r="B56" s="51" t="s">
        <v>466</v>
      </c>
      <c r="C56" s="75">
        <v>0.52885333359727615</v>
      </c>
      <c r="D56" s="52">
        <v>1946</v>
      </c>
      <c r="E56" s="53">
        <v>142</v>
      </c>
      <c r="F56" s="54">
        <v>560</v>
      </c>
      <c r="G56" s="55">
        <v>1238.3624999999997</v>
      </c>
      <c r="H56" s="55">
        <v>0.4555916305916306</v>
      </c>
      <c r="I56" s="55">
        <v>0.55000000000000004</v>
      </c>
      <c r="J56" s="55">
        <v>167.4375</v>
      </c>
      <c r="K56" s="56">
        <v>116</v>
      </c>
      <c r="L56" s="55">
        <v>1.443426724137931</v>
      </c>
      <c r="M56" s="52" t="s">
        <v>85</v>
      </c>
      <c r="N56" s="52" t="s">
        <v>85</v>
      </c>
      <c r="O56" s="14">
        <v>18</v>
      </c>
      <c r="P56" s="71"/>
    </row>
    <row r="57" spans="1:16" s="84" customFormat="1" ht="13.8" x14ac:dyDescent="0.3">
      <c r="C57" s="85" t="s">
        <v>473</v>
      </c>
      <c r="F57" s="86" t="s">
        <v>472</v>
      </c>
      <c r="G57" s="87" t="s">
        <v>472</v>
      </c>
      <c r="I57" s="86" t="s">
        <v>473</v>
      </c>
      <c r="J57" s="86" t="s">
        <v>472</v>
      </c>
      <c r="O57" s="86" t="s">
        <v>472</v>
      </c>
    </row>
    <row r="58" spans="1:16" s="84" customFormat="1" ht="13.8" x14ac:dyDescent="0.3">
      <c r="C58" s="88">
        <f>AVERAGE(C2:C56)</f>
        <v>0.46516939504657273</v>
      </c>
      <c r="F58" s="89">
        <f>SUM(F2:F56)</f>
        <v>25632</v>
      </c>
      <c r="G58" s="89">
        <f>SUM(G2:G56)</f>
        <v>108112.15625000001</v>
      </c>
      <c r="I58" s="88">
        <f>AVERAGE(I2:I56)</f>
        <v>0.63727272727272721</v>
      </c>
      <c r="J58" s="89">
        <f>SUM(J2:J56)</f>
        <v>14027.443749999997</v>
      </c>
      <c r="O58" s="89">
        <f>SUM(O2:O56)</f>
        <v>1685</v>
      </c>
    </row>
  </sheetData>
  <conditionalFormatting sqref="K6:K56 L2:N56 J2:J56 B2:B56 E2:H56 A35:A47">
    <cfRule type="containsText" dxfId="169" priority="46" operator="containsText" text="CALDAIE MURALI">
      <formula>NOT(ISERROR(SEARCH("CALDAIE MURALI",A2)))</formula>
    </cfRule>
    <cfRule type="containsText" dxfId="168" priority="47" operator="containsText" text="METANO">
      <formula>NOT(ISERROR(SEARCH("METANO",A2)))</formula>
    </cfRule>
    <cfRule type="containsText" dxfId="167" priority="48" operator="containsText" text="TELERISCALDAMENTO">
      <formula>NOT(ISERROR(SEARCH("TELERISCALDAMENTO",A2)))</formula>
    </cfRule>
    <cfRule type="containsText" dxfId="166" priority="49" operator="containsText" text="CENTRALIZZATO">
      <formula>NOT(ISERROR(SEARCH("CENTRALIZZATO",A2)))</formula>
    </cfRule>
  </conditionalFormatting>
  <conditionalFormatting sqref="A2:A5">
    <cfRule type="containsText" dxfId="165" priority="42" operator="containsText" text="CALDAIE MURALI">
      <formula>NOT(ISERROR(SEARCH("CALDAIE MURALI",A2)))</formula>
    </cfRule>
    <cfRule type="containsText" dxfId="164" priority="43" operator="containsText" text="METANO">
      <formula>NOT(ISERROR(SEARCH("METANO",A2)))</formula>
    </cfRule>
    <cfRule type="containsText" dxfId="163" priority="44" operator="containsText" text="TELERISCALDAMENTO">
      <formula>NOT(ISERROR(SEARCH("TELERISCALDAMENTO",A2)))</formula>
    </cfRule>
    <cfRule type="containsText" dxfId="162" priority="45" operator="containsText" text="CENTRALIZZATO">
      <formula>NOT(ISERROR(SEARCH("CENTRALIZZATO",A2)))</formula>
    </cfRule>
  </conditionalFormatting>
  <conditionalFormatting sqref="K2:K5">
    <cfRule type="containsText" dxfId="161" priority="38" operator="containsText" text="CALDAIE MURALI">
      <formula>NOT(ISERROR(SEARCH("CALDAIE MURALI",K2)))</formula>
    </cfRule>
    <cfRule type="containsText" dxfId="160" priority="39" operator="containsText" text="METANO">
      <formula>NOT(ISERROR(SEARCH("METANO",K2)))</formula>
    </cfRule>
    <cfRule type="containsText" dxfId="159" priority="40" operator="containsText" text="TELERISCALDAMENTO">
      <formula>NOT(ISERROR(SEARCH("TELERISCALDAMENTO",K2)))</formula>
    </cfRule>
    <cfRule type="containsText" dxfId="158" priority="41" operator="containsText" text="CENTRALIZZATO">
      <formula>NOT(ISERROR(SEARCH("CENTRALIZZATO",K2)))</formula>
    </cfRule>
  </conditionalFormatting>
  <conditionalFormatting sqref="A12:A21 A6:A10">
    <cfRule type="containsText" dxfId="157" priority="34" operator="containsText" text="CALDAIE MURALI">
      <formula>NOT(ISERROR(SEARCH("CALDAIE MURALI",A6)))</formula>
    </cfRule>
    <cfRule type="containsText" dxfId="156" priority="35" operator="containsText" text="METANO">
      <formula>NOT(ISERROR(SEARCH("METANO",A6)))</formula>
    </cfRule>
    <cfRule type="containsText" dxfId="155" priority="36" operator="containsText" text="TELERISCALDAMENTO">
      <formula>NOT(ISERROR(SEARCH("TELERISCALDAMENTO",A6)))</formula>
    </cfRule>
    <cfRule type="containsText" dxfId="154" priority="37" operator="containsText" text="CENTRALIZZATO">
      <formula>NOT(ISERROR(SEARCH("CENTRALIZZATO",A6)))</formula>
    </cfRule>
  </conditionalFormatting>
  <conditionalFormatting sqref="A11">
    <cfRule type="containsText" dxfId="153" priority="30" operator="containsText" text="CALDAIE MURALI">
      <formula>NOT(ISERROR(SEARCH("CALDAIE MURALI",A11)))</formula>
    </cfRule>
    <cfRule type="containsText" dxfId="152" priority="31" operator="containsText" text="METANO">
      <formula>NOT(ISERROR(SEARCH("METANO",A11)))</formula>
    </cfRule>
    <cfRule type="containsText" dxfId="151" priority="32" operator="containsText" text="TELERISCALDAMENTO">
      <formula>NOT(ISERROR(SEARCH("TELERISCALDAMENTO",A11)))</formula>
    </cfRule>
    <cfRule type="containsText" dxfId="150" priority="33" operator="containsText" text="CENTRALIZZATO">
      <formula>NOT(ISERROR(SEARCH("CENTRALIZZATO",A11)))</formula>
    </cfRule>
  </conditionalFormatting>
  <conditionalFormatting sqref="A22:A24">
    <cfRule type="containsText" dxfId="149" priority="26" operator="containsText" text="CALDAIE MURALI">
      <formula>NOT(ISERROR(SEARCH("CALDAIE MURALI",A22)))</formula>
    </cfRule>
    <cfRule type="containsText" dxfId="148" priority="27" operator="containsText" text="METANO">
      <formula>NOT(ISERROR(SEARCH("METANO",A22)))</formula>
    </cfRule>
    <cfRule type="containsText" dxfId="147" priority="28" operator="containsText" text="TELERISCALDAMENTO">
      <formula>NOT(ISERROR(SEARCH("TELERISCALDAMENTO",A22)))</formula>
    </cfRule>
    <cfRule type="containsText" dxfId="146" priority="29" operator="containsText" text="CENTRALIZZATO">
      <formula>NOT(ISERROR(SEARCH("CENTRALIZZATO",A22)))</formula>
    </cfRule>
  </conditionalFormatting>
  <conditionalFormatting sqref="A25:A34">
    <cfRule type="containsText" dxfId="145" priority="22" operator="containsText" text="CALDAIE MURALI">
      <formula>NOT(ISERROR(SEARCH("CALDAIE MURALI",A25)))</formula>
    </cfRule>
    <cfRule type="containsText" dxfId="144" priority="23" operator="containsText" text="METANO">
      <formula>NOT(ISERROR(SEARCH("METANO",A25)))</formula>
    </cfRule>
    <cfRule type="containsText" dxfId="143" priority="24" operator="containsText" text="TELERISCALDAMENTO">
      <formula>NOT(ISERROR(SEARCH("TELERISCALDAMENTO",A25)))</formula>
    </cfRule>
    <cfRule type="containsText" dxfId="142" priority="25" operator="containsText" text="CENTRALIZZATO">
      <formula>NOT(ISERROR(SEARCH("CENTRALIZZATO",A25)))</formula>
    </cfRule>
  </conditionalFormatting>
  <conditionalFormatting sqref="A48:A50">
    <cfRule type="containsText" dxfId="141" priority="18" operator="containsText" text="CALDAIE MURALI">
      <formula>NOT(ISERROR(SEARCH("CALDAIE MURALI",A48)))</formula>
    </cfRule>
    <cfRule type="containsText" dxfId="140" priority="19" operator="containsText" text="METANO">
      <formula>NOT(ISERROR(SEARCH("METANO",A48)))</formula>
    </cfRule>
    <cfRule type="containsText" dxfId="139" priority="20" operator="containsText" text="TELERISCALDAMENTO">
      <formula>NOT(ISERROR(SEARCH("TELERISCALDAMENTO",A48)))</formula>
    </cfRule>
    <cfRule type="containsText" dxfId="138" priority="21" operator="containsText" text="CENTRALIZZATO">
      <formula>NOT(ISERROR(SEARCH("CENTRALIZZATO",A48)))</formula>
    </cfRule>
  </conditionalFormatting>
  <conditionalFormatting sqref="A51:A56">
    <cfRule type="containsText" dxfId="137" priority="14" operator="containsText" text="CALDAIE MURALI">
      <formula>NOT(ISERROR(SEARCH("CALDAIE MURALI",A51)))</formula>
    </cfRule>
    <cfRule type="containsText" dxfId="136" priority="15" operator="containsText" text="METANO">
      <formula>NOT(ISERROR(SEARCH("METANO",A51)))</formula>
    </cfRule>
    <cfRule type="containsText" dxfId="135" priority="16" operator="containsText" text="TELERISCALDAMENTO">
      <formula>NOT(ISERROR(SEARCH("TELERISCALDAMENTO",A51)))</formula>
    </cfRule>
    <cfRule type="containsText" dxfId="134" priority="17" operator="containsText" text="CENTRALIZZATO">
      <formula>NOT(ISERROR(SEARCH("CENTRALIZZATO",A51)))</formula>
    </cfRule>
  </conditionalFormatting>
  <conditionalFormatting sqref="C2:C56">
    <cfRule type="cellIs" dxfId="133" priority="50" operator="lessThanOrEqual">
      <formula>#REF!</formula>
    </cfRule>
    <cfRule type="cellIs" dxfId="132" priority="51" operator="greaterThan">
      <formula>#REF!</formula>
    </cfRule>
  </conditionalFormatting>
  <conditionalFormatting sqref="M1:O1 E1:J1">
    <cfRule type="containsText" dxfId="131" priority="10" operator="containsText" text="CALDAIE MURALI">
      <formula>NOT(ISERROR(SEARCH("CALDAIE MURALI",E1)))</formula>
    </cfRule>
    <cfRule type="containsText" dxfId="130" priority="11" operator="containsText" text="METANO">
      <formula>NOT(ISERROR(SEARCH("METANO",E1)))</formula>
    </cfRule>
    <cfRule type="containsText" dxfId="129" priority="12" operator="containsText" text="TELERISCALDAMENTO">
      <formula>NOT(ISERROR(SEARCH("TELERISCALDAMENTO",E1)))</formula>
    </cfRule>
    <cfRule type="containsText" dxfId="128" priority="13" operator="containsText" text="CENTRALIZZATO">
      <formula>NOT(ISERROR(SEARCH("CENTRALIZZATO",E1)))</formula>
    </cfRule>
  </conditionalFormatting>
  <conditionalFormatting sqref="D1">
    <cfRule type="containsText" dxfId="127" priority="6" operator="containsText" text="CALDAIE MURALI">
      <formula>NOT(ISERROR(SEARCH("CALDAIE MURALI",D1)))</formula>
    </cfRule>
    <cfRule type="containsText" dxfId="126" priority="7" operator="containsText" text="METANO">
      <formula>NOT(ISERROR(SEARCH("METANO",D1)))</formula>
    </cfRule>
    <cfRule type="containsText" dxfId="125" priority="8" operator="containsText" text="TELERISCALDAMENTO">
      <formula>NOT(ISERROR(SEARCH("TELERISCALDAMENTO",D1)))</formula>
    </cfRule>
    <cfRule type="containsText" dxfId="124" priority="9" operator="containsText" text="CENTRALIZZATO">
      <formula>NOT(ISERROR(SEARCH("CENTRALIZZATO",D1)))</formula>
    </cfRule>
  </conditionalFormatting>
  <conditionalFormatting sqref="K1:L1">
    <cfRule type="containsText" dxfId="123" priority="2" operator="containsText" text="CALDAIE MURALI">
      <formula>NOT(ISERROR(SEARCH("CALDAIE MURALI",K1)))</formula>
    </cfRule>
    <cfRule type="containsText" dxfId="122" priority="3" operator="containsText" text="METANO">
      <formula>NOT(ISERROR(SEARCH("METANO",K1)))</formula>
    </cfRule>
    <cfRule type="containsText" dxfId="121" priority="4" operator="containsText" text="TELERISCALDAMENTO">
      <formula>NOT(ISERROR(SEARCH("TELERISCALDAMENTO",K1)))</formula>
    </cfRule>
    <cfRule type="containsText" dxfId="120" priority="5" operator="containsText" text="CENTRALIZZATO">
      <formula>NOT(ISERROR(SEARCH("CENTRALIZZATO",K1)))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0B6F260E-2081-4E6D-96B7-A07146EB15C5}">
            <xm:f>NOT(ISERROR(SEARCH(#REF!,O1)))</xm:f>
            <xm:f>#REF!</xm:f>
            <x14:dxf>
              <fill>
                <patternFill>
                  <bgColor theme="2" tint="-9.9948118533890809E-2"/>
                </patternFill>
              </fill>
            </x14:dxf>
          </x14:cfRule>
          <xm:sqref>O1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7944D-4A8F-4BC0-98FB-7964CA60CC09}">
  <sheetPr>
    <tabColor theme="9" tint="-0.249977111117893"/>
  </sheetPr>
  <dimension ref="A1:P49"/>
  <sheetViews>
    <sheetView topLeftCell="A37" workbookViewId="0">
      <selection activeCell="C1" sqref="C1:O1"/>
    </sheetView>
  </sheetViews>
  <sheetFormatPr defaultRowHeight="14.4" x14ac:dyDescent="0.3"/>
  <cols>
    <col min="2" max="2" width="65.33203125" bestFit="1" customWidth="1"/>
  </cols>
  <sheetData>
    <row r="1" spans="1:16" s="80" customFormat="1" ht="36" x14ac:dyDescent="0.25">
      <c r="B1" s="2" t="s">
        <v>1</v>
      </c>
      <c r="C1" s="74" t="s">
        <v>71</v>
      </c>
      <c r="D1" s="73" t="s">
        <v>72</v>
      </c>
      <c r="E1" s="48" t="s">
        <v>73</v>
      </c>
      <c r="F1" s="48" t="s">
        <v>74</v>
      </c>
      <c r="G1" s="46" t="s">
        <v>475</v>
      </c>
      <c r="H1" s="46" t="s">
        <v>75</v>
      </c>
      <c r="I1" s="47" t="s">
        <v>76</v>
      </c>
      <c r="J1" s="48" t="s">
        <v>77</v>
      </c>
      <c r="K1" s="49" t="s">
        <v>78</v>
      </c>
      <c r="L1" s="49" t="s">
        <v>79</v>
      </c>
      <c r="M1" s="45" t="s">
        <v>80</v>
      </c>
      <c r="N1" s="45" t="s">
        <v>81</v>
      </c>
      <c r="O1" s="45" t="s">
        <v>82</v>
      </c>
    </row>
    <row r="2" spans="1:16" s="80" customFormat="1" ht="13.8" x14ac:dyDescent="0.25">
      <c r="A2" s="59" t="s">
        <v>148</v>
      </c>
      <c r="B2" s="51" t="s">
        <v>149</v>
      </c>
      <c r="C2" s="75">
        <v>0.55924952453097809</v>
      </c>
      <c r="D2" s="52">
        <v>1961</v>
      </c>
      <c r="E2" s="53">
        <v>166</v>
      </c>
      <c r="F2" s="54">
        <v>911</v>
      </c>
      <c r="G2" s="55">
        <v>3642.1124999999997</v>
      </c>
      <c r="H2" s="55">
        <v>0.25797491933606093</v>
      </c>
      <c r="I2" s="55">
        <v>0.75</v>
      </c>
      <c r="J2" s="55">
        <v>740.28750000000002</v>
      </c>
      <c r="K2" s="56">
        <v>501</v>
      </c>
      <c r="L2" s="55">
        <v>1.477619760479042</v>
      </c>
      <c r="M2" s="52" t="s">
        <v>150</v>
      </c>
      <c r="N2" s="52" t="s">
        <v>85</v>
      </c>
      <c r="O2" s="14">
        <v>64</v>
      </c>
      <c r="P2" s="71"/>
    </row>
    <row r="3" spans="1:16" s="80" customFormat="1" ht="13.8" x14ac:dyDescent="0.25">
      <c r="A3" s="59" t="s">
        <v>151</v>
      </c>
      <c r="B3" s="51" t="s">
        <v>152</v>
      </c>
      <c r="C3" s="75">
        <v>0.55802464274114971</v>
      </c>
      <c r="D3" s="52">
        <v>1961</v>
      </c>
      <c r="E3" s="53">
        <v>165</v>
      </c>
      <c r="F3" s="54">
        <v>901</v>
      </c>
      <c r="G3" s="55">
        <v>3624.2125000000001</v>
      </c>
      <c r="H3" s="55">
        <v>0.25888743147344706</v>
      </c>
      <c r="I3" s="55">
        <v>0.75</v>
      </c>
      <c r="J3" s="55">
        <v>731.78750000000002</v>
      </c>
      <c r="K3" s="56">
        <v>495</v>
      </c>
      <c r="L3" s="55">
        <v>1.4783585858585859</v>
      </c>
      <c r="M3" s="52" t="s">
        <v>150</v>
      </c>
      <c r="N3" s="52" t="s">
        <v>85</v>
      </c>
      <c r="O3" s="14">
        <v>64</v>
      </c>
      <c r="P3" s="71"/>
    </row>
    <row r="4" spans="1:16" s="80" customFormat="1" ht="13.8" x14ac:dyDescent="0.25">
      <c r="A4" s="59" t="s">
        <v>153</v>
      </c>
      <c r="B4" s="51" t="s">
        <v>154</v>
      </c>
      <c r="C4" s="75">
        <v>0.54588375606117123</v>
      </c>
      <c r="D4" s="52">
        <v>1961</v>
      </c>
      <c r="E4" s="53">
        <v>165</v>
      </c>
      <c r="F4" s="54">
        <v>901</v>
      </c>
      <c r="G4" s="55">
        <v>4076.9812499999998</v>
      </c>
      <c r="H4" s="55">
        <v>0.25046992305593857</v>
      </c>
      <c r="I4" s="55">
        <v>0.75</v>
      </c>
      <c r="J4" s="55">
        <v>823.51875000000007</v>
      </c>
      <c r="K4" s="56">
        <v>554</v>
      </c>
      <c r="L4" s="55">
        <v>1.4864959386281589</v>
      </c>
      <c r="M4" s="52" t="s">
        <v>150</v>
      </c>
      <c r="N4" s="52" t="s">
        <v>85</v>
      </c>
      <c r="O4" s="14">
        <v>65</v>
      </c>
      <c r="P4" s="71"/>
    </row>
    <row r="5" spans="1:16" s="80" customFormat="1" ht="13.8" x14ac:dyDescent="0.25">
      <c r="A5" s="59" t="s">
        <v>155</v>
      </c>
      <c r="B5" s="51" t="s">
        <v>156</v>
      </c>
      <c r="C5" s="75">
        <v>0.55802464274114971</v>
      </c>
      <c r="D5" s="52">
        <v>1961</v>
      </c>
      <c r="E5" s="53">
        <v>165</v>
      </c>
      <c r="F5" s="54">
        <v>901</v>
      </c>
      <c r="G5" s="55">
        <v>3624.2125000000001</v>
      </c>
      <c r="H5" s="55">
        <v>0.25888743147344706</v>
      </c>
      <c r="I5" s="55">
        <v>0.75</v>
      </c>
      <c r="J5" s="55">
        <v>731.78750000000002</v>
      </c>
      <c r="K5" s="56">
        <v>495</v>
      </c>
      <c r="L5" s="55">
        <v>1.4783585858585859</v>
      </c>
      <c r="M5" s="52" t="s">
        <v>150</v>
      </c>
      <c r="N5" s="52" t="s">
        <v>85</v>
      </c>
      <c r="O5" s="14">
        <v>64</v>
      </c>
      <c r="P5" s="71"/>
    </row>
    <row r="6" spans="1:16" s="80" customFormat="1" ht="13.8" x14ac:dyDescent="0.25">
      <c r="A6" s="59" t="s">
        <v>157</v>
      </c>
      <c r="B6" s="51" t="s">
        <v>158</v>
      </c>
      <c r="C6" s="75">
        <v>0.55802464274114971</v>
      </c>
      <c r="D6" s="52">
        <v>1961</v>
      </c>
      <c r="E6" s="53">
        <v>165</v>
      </c>
      <c r="F6" s="54">
        <v>901</v>
      </c>
      <c r="G6" s="55">
        <v>3624.2125000000001</v>
      </c>
      <c r="H6" s="55">
        <v>0.25888743147344706</v>
      </c>
      <c r="I6" s="55">
        <v>0.75</v>
      </c>
      <c r="J6" s="55">
        <v>731.78750000000002</v>
      </c>
      <c r="K6" s="56">
        <v>491</v>
      </c>
      <c r="L6" s="55">
        <v>1.4904022403258657</v>
      </c>
      <c r="M6" s="52" t="s">
        <v>150</v>
      </c>
      <c r="N6" s="52" t="s">
        <v>85</v>
      </c>
      <c r="O6" s="14">
        <v>64</v>
      </c>
      <c r="P6" s="71"/>
    </row>
    <row r="7" spans="1:16" s="80" customFormat="1" ht="13.8" x14ac:dyDescent="0.25">
      <c r="A7" s="61" t="s">
        <v>295</v>
      </c>
      <c r="B7" s="51" t="s">
        <v>296</v>
      </c>
      <c r="C7" s="75">
        <v>0.52873605456907746</v>
      </c>
      <c r="D7" s="52">
        <v>1973</v>
      </c>
      <c r="E7" s="53">
        <v>145</v>
      </c>
      <c r="F7" s="60">
        <v>733</v>
      </c>
      <c r="G7" s="55">
        <v>3634.6312499999999</v>
      </c>
      <c r="H7" s="55">
        <v>0.2651572569717181</v>
      </c>
      <c r="I7" s="55">
        <v>0.75</v>
      </c>
      <c r="J7" s="55">
        <v>671.86874999999998</v>
      </c>
      <c r="K7" s="56">
        <v>393</v>
      </c>
      <c r="L7" s="55">
        <v>1.7095896946564886</v>
      </c>
      <c r="M7" s="52" t="s">
        <v>150</v>
      </c>
      <c r="N7" s="52" t="s">
        <v>85</v>
      </c>
      <c r="O7" s="14">
        <v>76</v>
      </c>
      <c r="P7" s="71"/>
    </row>
    <row r="8" spans="1:16" s="80" customFormat="1" ht="13.8" x14ac:dyDescent="0.25">
      <c r="A8" s="50">
        <v>133</v>
      </c>
      <c r="B8" s="51" t="s">
        <v>346</v>
      </c>
      <c r="C8" s="75">
        <v>0.4450009324878777</v>
      </c>
      <c r="D8" s="52">
        <v>1971</v>
      </c>
      <c r="E8" s="53">
        <v>67</v>
      </c>
      <c r="F8" s="54">
        <v>235</v>
      </c>
      <c r="G8" s="55">
        <v>1973.375</v>
      </c>
      <c r="H8" s="55">
        <v>0.34571244358478403</v>
      </c>
      <c r="I8" s="55">
        <v>0.75</v>
      </c>
      <c r="J8" s="55">
        <v>237.625</v>
      </c>
      <c r="K8" s="56">
        <v>161</v>
      </c>
      <c r="L8" s="55">
        <v>1.4759316770186335</v>
      </c>
      <c r="M8" s="52" t="s">
        <v>150</v>
      </c>
      <c r="N8" s="52" t="s">
        <v>85</v>
      </c>
      <c r="O8" s="14">
        <v>20</v>
      </c>
      <c r="P8" s="71"/>
    </row>
    <row r="9" spans="1:16" s="80" customFormat="1" ht="13.8" x14ac:dyDescent="0.25">
      <c r="A9" s="59">
        <v>182</v>
      </c>
      <c r="B9" s="51" t="s">
        <v>397</v>
      </c>
      <c r="C9" s="75">
        <v>0.47839399314900904</v>
      </c>
      <c r="D9" s="52">
        <v>1961</v>
      </c>
      <c r="E9" s="53">
        <v>99</v>
      </c>
      <c r="F9" s="54">
        <v>410</v>
      </c>
      <c r="G9" s="55">
        <v>2843.4375</v>
      </c>
      <c r="H9" s="55">
        <v>0.30206947524020694</v>
      </c>
      <c r="I9" s="55">
        <v>0.75</v>
      </c>
      <c r="J9" s="55">
        <v>423.5625</v>
      </c>
      <c r="K9" s="56">
        <v>295</v>
      </c>
      <c r="L9" s="55">
        <v>1.4358050847457626</v>
      </c>
      <c r="M9" s="52" t="s">
        <v>150</v>
      </c>
      <c r="N9" s="52" t="s">
        <v>85</v>
      </c>
      <c r="O9" s="14">
        <v>40</v>
      </c>
      <c r="P9" s="71"/>
    </row>
    <row r="10" spans="1:16" s="80" customFormat="1" ht="13.8" x14ac:dyDescent="0.25">
      <c r="A10" s="59">
        <v>229</v>
      </c>
      <c r="B10" s="51" t="s">
        <v>444</v>
      </c>
      <c r="C10" s="75">
        <v>0.50902734416693352</v>
      </c>
      <c r="D10" s="52">
        <v>1971</v>
      </c>
      <c r="E10" s="53">
        <v>213</v>
      </c>
      <c r="F10" s="54">
        <v>936</v>
      </c>
      <c r="G10" s="55">
        <v>4869.6624999999995</v>
      </c>
      <c r="H10" s="55">
        <v>0.30332167832167833</v>
      </c>
      <c r="I10" s="55">
        <v>0.75</v>
      </c>
      <c r="J10" s="55">
        <v>753.53750000000002</v>
      </c>
      <c r="K10" s="56">
        <v>455</v>
      </c>
      <c r="L10" s="55">
        <v>1.6561263736263736</v>
      </c>
      <c r="M10" s="52" t="s">
        <v>150</v>
      </c>
      <c r="N10" s="52" t="s">
        <v>85</v>
      </c>
      <c r="O10" s="14">
        <v>85</v>
      </c>
      <c r="P10" s="71"/>
    </row>
    <row r="11" spans="1:16" s="80" customFormat="1" ht="13.8" x14ac:dyDescent="0.25">
      <c r="A11" s="59">
        <v>230</v>
      </c>
      <c r="B11" s="51" t="s">
        <v>445</v>
      </c>
      <c r="C11" s="75">
        <v>0.5124548285344549</v>
      </c>
      <c r="D11" s="52">
        <v>1971</v>
      </c>
      <c r="E11" s="53">
        <v>175</v>
      </c>
      <c r="F11" s="54">
        <v>781</v>
      </c>
      <c r="G11" s="55">
        <v>3990.2125000000001</v>
      </c>
      <c r="H11" s="55">
        <v>0.29982927870251819</v>
      </c>
      <c r="I11" s="55">
        <v>0.75</v>
      </c>
      <c r="J11" s="55">
        <v>629.78750000000002</v>
      </c>
      <c r="K11" s="56">
        <v>378</v>
      </c>
      <c r="L11" s="55">
        <v>1.6661044973544974</v>
      </c>
      <c r="M11" s="52" t="s">
        <v>150</v>
      </c>
      <c r="N11" s="52" t="s">
        <v>85</v>
      </c>
      <c r="O11" s="14">
        <v>67</v>
      </c>
      <c r="P11" s="71"/>
    </row>
    <row r="12" spans="1:16" s="84" customFormat="1" ht="13.8" x14ac:dyDescent="0.3">
      <c r="C12" s="85" t="s">
        <v>473</v>
      </c>
      <c r="F12" s="86" t="s">
        <v>472</v>
      </c>
      <c r="G12" s="87" t="s">
        <v>472</v>
      </c>
      <c r="I12" s="86" t="s">
        <v>473</v>
      </c>
      <c r="J12" s="86" t="s">
        <v>472</v>
      </c>
      <c r="O12" s="86" t="s">
        <v>472</v>
      </c>
    </row>
    <row r="13" spans="1:16" s="84" customFormat="1" ht="13.8" x14ac:dyDescent="0.3">
      <c r="A13" s="135"/>
      <c r="B13" s="135" t="s">
        <v>488</v>
      </c>
      <c r="C13" s="88">
        <f>AVERAGE(C2:C11)</f>
        <v>0.52528203617229519</v>
      </c>
      <c r="F13" s="89">
        <f>SUM(F2:F11)</f>
        <v>7610</v>
      </c>
      <c r="G13" s="89">
        <f>SUM(G2:G11)</f>
        <v>35903.049999999996</v>
      </c>
      <c r="I13" s="88">
        <f>AVERAGE(I2:I11)</f>
        <v>0.75</v>
      </c>
      <c r="J13" s="89">
        <f>SUM(J2:J11)</f>
        <v>6475.55</v>
      </c>
      <c r="O13" s="89">
        <f>SUM(O2:O11)</f>
        <v>609</v>
      </c>
    </row>
    <row r="15" spans="1:16" s="80" customFormat="1" ht="13.8" x14ac:dyDescent="0.25">
      <c r="A15" s="59" t="s">
        <v>289</v>
      </c>
      <c r="B15" s="51" t="s">
        <v>290</v>
      </c>
      <c r="C15" s="75">
        <v>0.52416202183228544</v>
      </c>
      <c r="D15" s="52">
        <v>1961</v>
      </c>
      <c r="E15" s="53">
        <v>465</v>
      </c>
      <c r="F15" s="60">
        <v>2622</v>
      </c>
      <c r="G15" s="55">
        <v>8870.4499999999989</v>
      </c>
      <c r="H15" s="55">
        <v>0.26392562433752365</v>
      </c>
      <c r="I15" s="55">
        <v>0.75</v>
      </c>
      <c r="J15" s="55">
        <v>1871.0499999999997</v>
      </c>
      <c r="K15" s="56">
        <v>1271</v>
      </c>
      <c r="L15" s="55">
        <v>1.4721085759244688</v>
      </c>
      <c r="M15" s="52" t="s">
        <v>85</v>
      </c>
      <c r="N15" s="52" t="s">
        <v>85</v>
      </c>
      <c r="O15" s="14">
        <v>166</v>
      </c>
      <c r="P15" s="71"/>
    </row>
    <row r="16" spans="1:16" s="80" customFormat="1" ht="13.8" x14ac:dyDescent="0.25">
      <c r="A16" s="59" t="s">
        <v>291</v>
      </c>
      <c r="B16" s="51" t="s">
        <v>292</v>
      </c>
      <c r="C16" s="75">
        <v>0.59488043022585546</v>
      </c>
      <c r="D16" s="52">
        <v>1961</v>
      </c>
      <c r="E16" s="53">
        <v>245</v>
      </c>
      <c r="F16" s="60">
        <v>1941</v>
      </c>
      <c r="G16" s="55">
        <v>4273.9437499999995</v>
      </c>
      <c r="H16" s="55">
        <v>0.21280368266457911</v>
      </c>
      <c r="I16" s="55">
        <v>0.75</v>
      </c>
      <c r="J16" s="55">
        <v>1385.5562499999999</v>
      </c>
      <c r="K16" s="56">
        <v>911</v>
      </c>
      <c r="L16" s="55">
        <v>1.5209179473106476</v>
      </c>
      <c r="M16" s="52" t="s">
        <v>85</v>
      </c>
      <c r="N16" s="52" t="s">
        <v>85</v>
      </c>
      <c r="O16" s="14">
        <v>99</v>
      </c>
      <c r="P16" s="71"/>
    </row>
    <row r="17" spans="1:16" s="80" customFormat="1" ht="13.8" x14ac:dyDescent="0.25">
      <c r="A17" s="63" t="s">
        <v>299</v>
      </c>
      <c r="B17" s="51" t="s">
        <v>300</v>
      </c>
      <c r="C17" s="75">
        <v>0.50815691844919786</v>
      </c>
      <c r="D17" s="52">
        <v>1961</v>
      </c>
      <c r="E17" s="53">
        <v>200</v>
      </c>
      <c r="F17" s="60">
        <v>1100</v>
      </c>
      <c r="G17" s="55">
        <v>4387.0625</v>
      </c>
      <c r="H17" s="55">
        <v>0.25757575757575757</v>
      </c>
      <c r="I17" s="55">
        <v>0.75</v>
      </c>
      <c r="J17" s="55">
        <v>892.9375</v>
      </c>
      <c r="K17" s="56">
        <v>475</v>
      </c>
      <c r="L17" s="55">
        <v>1.8798684210526315</v>
      </c>
      <c r="M17" s="52" t="s">
        <v>85</v>
      </c>
      <c r="N17" s="52" t="s">
        <v>85</v>
      </c>
      <c r="O17" s="14">
        <v>95</v>
      </c>
      <c r="P17" s="71"/>
    </row>
    <row r="18" spans="1:16" s="80" customFormat="1" ht="13.8" x14ac:dyDescent="0.25">
      <c r="A18" s="61" t="s">
        <v>337</v>
      </c>
      <c r="B18" s="51" t="s">
        <v>338</v>
      </c>
      <c r="C18" s="75">
        <v>0.5191409330741461</v>
      </c>
      <c r="D18" s="52">
        <v>1971</v>
      </c>
      <c r="E18" s="53">
        <v>138</v>
      </c>
      <c r="F18" s="54">
        <v>662</v>
      </c>
      <c r="G18" s="55">
        <v>1942.375</v>
      </c>
      <c r="H18" s="55">
        <v>0.32967133571363177</v>
      </c>
      <c r="I18" s="55">
        <v>0.75</v>
      </c>
      <c r="J18" s="55">
        <v>334.625</v>
      </c>
      <c r="K18" s="56">
        <v>177</v>
      </c>
      <c r="L18" s="55">
        <v>1.8905367231638419</v>
      </c>
      <c r="M18" s="52" t="s">
        <v>85</v>
      </c>
      <c r="N18" s="52" t="s">
        <v>85</v>
      </c>
      <c r="O18" s="14">
        <v>41</v>
      </c>
      <c r="P18" s="71"/>
    </row>
    <row r="19" spans="1:16" s="80" customFormat="1" ht="13.8" x14ac:dyDescent="0.25">
      <c r="A19" s="61" t="s">
        <v>339</v>
      </c>
      <c r="B19" s="51" t="s">
        <v>340</v>
      </c>
      <c r="C19" s="75">
        <v>0.5191409330741461</v>
      </c>
      <c r="D19" s="52">
        <v>1971</v>
      </c>
      <c r="E19" s="53">
        <v>138</v>
      </c>
      <c r="F19" s="54">
        <v>662</v>
      </c>
      <c r="G19" s="55">
        <v>1942.375</v>
      </c>
      <c r="H19" s="55">
        <v>0.32967133571363177</v>
      </c>
      <c r="I19" s="55">
        <v>0.75</v>
      </c>
      <c r="J19" s="55">
        <v>334.625</v>
      </c>
      <c r="K19" s="56">
        <v>223</v>
      </c>
      <c r="L19" s="55">
        <v>1.5005605381165918</v>
      </c>
      <c r="M19" s="52" t="s">
        <v>85</v>
      </c>
      <c r="N19" s="52" t="s">
        <v>85</v>
      </c>
      <c r="O19" s="14">
        <v>41</v>
      </c>
      <c r="P19" s="71"/>
    </row>
    <row r="20" spans="1:16" s="80" customFormat="1" ht="13.8" x14ac:dyDescent="0.25">
      <c r="A20" s="61" t="s">
        <v>341</v>
      </c>
      <c r="B20" s="51" t="s">
        <v>342</v>
      </c>
      <c r="C20" s="75">
        <v>0.5191409330741461</v>
      </c>
      <c r="D20" s="52">
        <v>1971</v>
      </c>
      <c r="E20" s="53">
        <v>138</v>
      </c>
      <c r="F20" s="54">
        <v>662</v>
      </c>
      <c r="G20" s="55">
        <v>1942.375</v>
      </c>
      <c r="H20" s="55">
        <v>0.32967133571363177</v>
      </c>
      <c r="I20" s="55">
        <v>0.75</v>
      </c>
      <c r="J20" s="55">
        <v>334.625</v>
      </c>
      <c r="K20" s="56">
        <v>222</v>
      </c>
      <c r="L20" s="55">
        <v>1.5073198198198199</v>
      </c>
      <c r="M20" s="52" t="s">
        <v>85</v>
      </c>
      <c r="N20" s="52" t="s">
        <v>85</v>
      </c>
      <c r="O20" s="14">
        <v>41</v>
      </c>
      <c r="P20" s="71"/>
    </row>
    <row r="21" spans="1:16" s="80" customFormat="1" ht="13.8" x14ac:dyDescent="0.25">
      <c r="A21" s="61">
        <v>130</v>
      </c>
      <c r="B21" s="51" t="s">
        <v>343</v>
      </c>
      <c r="C21" s="75">
        <v>0.52941570274989092</v>
      </c>
      <c r="D21" s="52">
        <v>1971</v>
      </c>
      <c r="E21" s="53">
        <v>172</v>
      </c>
      <c r="F21" s="54">
        <v>872</v>
      </c>
      <c r="G21" s="55">
        <v>2396.8125</v>
      </c>
      <c r="H21" s="55">
        <v>0.31845982763413955</v>
      </c>
      <c r="I21" s="55">
        <v>0.75</v>
      </c>
      <c r="J21" s="55">
        <v>441.1875</v>
      </c>
      <c r="K21" s="56">
        <v>235</v>
      </c>
      <c r="L21" s="55">
        <v>1.8773936170212766</v>
      </c>
      <c r="M21" s="52" t="s">
        <v>85</v>
      </c>
      <c r="N21" s="52" t="s">
        <v>85</v>
      </c>
      <c r="O21" s="14">
        <v>57</v>
      </c>
      <c r="P21" s="71"/>
    </row>
    <row r="22" spans="1:16" s="80" customFormat="1" ht="13.8" x14ac:dyDescent="0.25">
      <c r="A22" s="61">
        <v>131</v>
      </c>
      <c r="B22" s="51" t="s">
        <v>344</v>
      </c>
      <c r="C22" s="75">
        <v>0.5191409330741461</v>
      </c>
      <c r="D22" s="52">
        <v>1971</v>
      </c>
      <c r="E22" s="53">
        <v>138</v>
      </c>
      <c r="F22" s="54">
        <v>662</v>
      </c>
      <c r="G22" s="55">
        <v>1942.375</v>
      </c>
      <c r="H22" s="55">
        <v>0.32967133571363177</v>
      </c>
      <c r="I22" s="55">
        <v>0.75</v>
      </c>
      <c r="J22" s="55">
        <v>334.625</v>
      </c>
      <c r="K22" s="56">
        <v>222</v>
      </c>
      <c r="L22" s="55">
        <v>1.5073198198198199</v>
      </c>
      <c r="M22" s="52" t="s">
        <v>85</v>
      </c>
      <c r="N22" s="52" t="s">
        <v>85</v>
      </c>
      <c r="O22" s="14">
        <v>83</v>
      </c>
      <c r="P22" s="71"/>
    </row>
    <row r="23" spans="1:16" s="80" customFormat="1" ht="13.8" x14ac:dyDescent="0.25">
      <c r="A23" s="61">
        <v>132</v>
      </c>
      <c r="B23" s="51" t="s">
        <v>345</v>
      </c>
      <c r="C23" s="75">
        <v>0.51172108134124827</v>
      </c>
      <c r="D23" s="52">
        <v>1971</v>
      </c>
      <c r="E23" s="53">
        <v>121</v>
      </c>
      <c r="F23" s="54">
        <v>560</v>
      </c>
      <c r="G23" s="55">
        <v>1716.0625</v>
      </c>
      <c r="H23" s="55">
        <v>0.3372835497835498</v>
      </c>
      <c r="I23" s="55">
        <v>0.75</v>
      </c>
      <c r="J23" s="55">
        <v>280.4375</v>
      </c>
      <c r="K23" s="56">
        <v>197</v>
      </c>
      <c r="L23" s="55">
        <v>1.4235406091370559</v>
      </c>
      <c r="M23" s="52" t="s">
        <v>85</v>
      </c>
      <c r="N23" s="52" t="s">
        <v>85</v>
      </c>
      <c r="O23" s="14">
        <v>83</v>
      </c>
      <c r="P23" s="71"/>
    </row>
    <row r="24" spans="1:16" s="80" customFormat="1" ht="13.8" x14ac:dyDescent="0.25">
      <c r="A24" s="50">
        <v>134</v>
      </c>
      <c r="B24" s="51" t="s">
        <v>347</v>
      </c>
      <c r="C24" s="75">
        <v>0.44670578724353255</v>
      </c>
      <c r="D24" s="52">
        <v>1971</v>
      </c>
      <c r="E24" s="53">
        <v>108</v>
      </c>
      <c r="F24" s="54">
        <v>460</v>
      </c>
      <c r="G24" s="55">
        <v>3097.3125</v>
      </c>
      <c r="H24" s="55">
        <v>0.29538866930171276</v>
      </c>
      <c r="I24" s="55">
        <v>0.75</v>
      </c>
      <c r="J24" s="55">
        <v>466.6875</v>
      </c>
      <c r="K24" s="56">
        <v>317</v>
      </c>
      <c r="L24" s="55">
        <v>1.4722003154574133</v>
      </c>
      <c r="M24" s="52" t="s">
        <v>85</v>
      </c>
      <c r="N24" s="52" t="s">
        <v>85</v>
      </c>
      <c r="O24" s="14">
        <v>40</v>
      </c>
      <c r="P24" s="71"/>
    </row>
    <row r="25" spans="1:16" s="80" customFormat="1" ht="13.8" x14ac:dyDescent="0.25">
      <c r="A25" s="50">
        <v>135</v>
      </c>
      <c r="B25" s="51" t="s">
        <v>348</v>
      </c>
      <c r="C25" s="75">
        <v>0.51597941857473628</v>
      </c>
      <c r="D25" s="52">
        <v>1971</v>
      </c>
      <c r="E25" s="53">
        <v>150</v>
      </c>
      <c r="F25" s="54">
        <v>706</v>
      </c>
      <c r="G25" s="55">
        <v>2117</v>
      </c>
      <c r="H25" s="55">
        <v>0.33367671044724867</v>
      </c>
      <c r="I25" s="55">
        <v>0.75</v>
      </c>
      <c r="J25" s="55">
        <v>358</v>
      </c>
      <c r="K25" s="56">
        <v>249</v>
      </c>
      <c r="L25" s="55">
        <v>1.4377510040160641</v>
      </c>
      <c r="M25" s="52" t="s">
        <v>85</v>
      </c>
      <c r="N25" s="52" t="s">
        <v>85</v>
      </c>
      <c r="O25" s="14">
        <v>30</v>
      </c>
      <c r="P25" s="71"/>
    </row>
    <row r="26" spans="1:16" s="80" customFormat="1" ht="13.8" x14ac:dyDescent="0.25">
      <c r="A26" s="50">
        <v>136</v>
      </c>
      <c r="B26" s="51" t="s">
        <v>349</v>
      </c>
      <c r="C26" s="75">
        <v>0.49167500439599082</v>
      </c>
      <c r="D26" s="52">
        <v>1971</v>
      </c>
      <c r="E26" s="53">
        <v>115</v>
      </c>
      <c r="F26" s="54">
        <v>473</v>
      </c>
      <c r="G26" s="55">
        <v>1658.28125</v>
      </c>
      <c r="H26" s="55">
        <v>0.36434108527131781</v>
      </c>
      <c r="I26" s="55">
        <v>0.75</v>
      </c>
      <c r="J26" s="55">
        <v>239.21875</v>
      </c>
      <c r="K26" s="56">
        <v>170</v>
      </c>
      <c r="L26" s="55">
        <v>1.4071691176470589</v>
      </c>
      <c r="M26" s="52" t="s">
        <v>85</v>
      </c>
      <c r="N26" s="52" t="s">
        <v>85</v>
      </c>
      <c r="O26" s="14">
        <v>20</v>
      </c>
      <c r="P26" s="71"/>
    </row>
    <row r="27" spans="1:16" s="80" customFormat="1" ht="13.8" x14ac:dyDescent="0.25">
      <c r="A27" s="61">
        <v>137</v>
      </c>
      <c r="B27" s="51" t="s">
        <v>350</v>
      </c>
      <c r="C27" s="75">
        <v>0.52622514461315972</v>
      </c>
      <c r="D27" s="52">
        <v>1961</v>
      </c>
      <c r="E27" s="53">
        <v>125</v>
      </c>
      <c r="F27" s="54">
        <v>558</v>
      </c>
      <c r="G27" s="55">
        <v>1422.9124999999999</v>
      </c>
      <c r="H27" s="55">
        <v>0.37552948843271428</v>
      </c>
      <c r="I27" s="55">
        <v>0.75</v>
      </c>
      <c r="J27" s="55">
        <v>227.08750000000001</v>
      </c>
      <c r="K27" s="56">
        <v>187</v>
      </c>
      <c r="L27" s="55">
        <v>1.2143716577540107</v>
      </c>
      <c r="M27" s="52" t="s">
        <v>351</v>
      </c>
      <c r="N27" s="52" t="s">
        <v>85</v>
      </c>
      <c r="O27" s="14">
        <v>16</v>
      </c>
      <c r="P27" s="71"/>
    </row>
    <row r="28" spans="1:16" s="80" customFormat="1" ht="13.8" x14ac:dyDescent="0.25">
      <c r="A28" s="61">
        <v>138</v>
      </c>
      <c r="B28" s="51" t="s">
        <v>352</v>
      </c>
      <c r="C28" s="75">
        <v>0.52622514461315972</v>
      </c>
      <c r="D28" s="52">
        <v>1961</v>
      </c>
      <c r="E28" s="53">
        <v>125</v>
      </c>
      <c r="F28" s="54">
        <v>558</v>
      </c>
      <c r="G28" s="55">
        <v>1422.9124999999999</v>
      </c>
      <c r="H28" s="55">
        <v>0.37552948843271428</v>
      </c>
      <c r="I28" s="55">
        <v>0.75</v>
      </c>
      <c r="J28" s="55">
        <v>227.08750000000001</v>
      </c>
      <c r="K28" s="56">
        <v>184</v>
      </c>
      <c r="L28" s="55">
        <v>1.2341711956521739</v>
      </c>
      <c r="M28" s="52" t="s">
        <v>351</v>
      </c>
      <c r="N28" s="52" t="s">
        <v>85</v>
      </c>
      <c r="O28" s="14">
        <v>16</v>
      </c>
      <c r="P28" s="71"/>
    </row>
    <row r="29" spans="1:16" s="80" customFormat="1" ht="13.8" x14ac:dyDescent="0.25">
      <c r="A29" s="61">
        <v>139</v>
      </c>
      <c r="B29" s="51" t="s">
        <v>353</v>
      </c>
      <c r="C29" s="75">
        <v>0.51421897134578232</v>
      </c>
      <c r="D29" s="52">
        <v>1961</v>
      </c>
      <c r="E29" s="53">
        <v>120</v>
      </c>
      <c r="F29" s="54">
        <v>563</v>
      </c>
      <c r="G29" s="55">
        <v>1697.96875</v>
      </c>
      <c r="H29" s="55">
        <v>0.33435599332579796</v>
      </c>
      <c r="I29" s="55">
        <v>0.75</v>
      </c>
      <c r="J29" s="55">
        <v>282.03125</v>
      </c>
      <c r="K29" s="56">
        <v>194</v>
      </c>
      <c r="L29" s="55">
        <v>1.4537693298969072</v>
      </c>
      <c r="M29" s="52" t="s">
        <v>85</v>
      </c>
      <c r="N29" s="52" t="s">
        <v>85</v>
      </c>
      <c r="O29" s="14">
        <v>41</v>
      </c>
      <c r="P29" s="71"/>
    </row>
    <row r="30" spans="1:16" s="80" customFormat="1" ht="13.8" x14ac:dyDescent="0.25">
      <c r="A30" s="61">
        <v>140</v>
      </c>
      <c r="B30" s="51" t="s">
        <v>354</v>
      </c>
      <c r="C30" s="75">
        <v>0.52010004218222727</v>
      </c>
      <c r="D30" s="52">
        <v>1961</v>
      </c>
      <c r="E30" s="53">
        <v>136</v>
      </c>
      <c r="F30" s="54">
        <v>656</v>
      </c>
      <c r="G30" s="55">
        <v>1912.5625</v>
      </c>
      <c r="H30" s="55">
        <v>0.32852919438285294</v>
      </c>
      <c r="I30" s="55">
        <v>0.75</v>
      </c>
      <c r="J30" s="55">
        <v>331.4375</v>
      </c>
      <c r="K30" s="56">
        <v>226</v>
      </c>
      <c r="L30" s="55">
        <v>1.466537610619469</v>
      </c>
      <c r="M30" s="52" t="s">
        <v>85</v>
      </c>
      <c r="N30" s="52" t="s">
        <v>85</v>
      </c>
      <c r="O30" s="14">
        <v>42</v>
      </c>
      <c r="P30" s="71"/>
    </row>
    <row r="31" spans="1:16" s="80" customFormat="1" ht="13.8" x14ac:dyDescent="0.25">
      <c r="A31" s="64">
        <v>150</v>
      </c>
      <c r="B31" s="51" t="s">
        <v>364</v>
      </c>
      <c r="C31" s="75">
        <v>0.54536977491961414</v>
      </c>
      <c r="D31" s="52">
        <v>1961</v>
      </c>
      <c r="E31" s="53">
        <v>46</v>
      </c>
      <c r="F31" s="54">
        <v>291</v>
      </c>
      <c r="G31" s="55">
        <v>751.34999999999991</v>
      </c>
      <c r="H31" s="55">
        <v>0.25908570238467143</v>
      </c>
      <c r="I31" s="55">
        <v>0.75</v>
      </c>
      <c r="J31" s="55">
        <v>159.44999999999999</v>
      </c>
      <c r="K31" s="56">
        <v>101</v>
      </c>
      <c r="L31" s="55">
        <v>1.5787128712871286</v>
      </c>
      <c r="M31" s="52" t="s">
        <v>85</v>
      </c>
      <c r="N31" s="52" t="s">
        <v>85</v>
      </c>
      <c r="O31" s="14">
        <v>70</v>
      </c>
      <c r="P31" s="71"/>
    </row>
    <row r="32" spans="1:16" s="80" customFormat="1" ht="13.8" x14ac:dyDescent="0.25">
      <c r="A32" s="50">
        <v>184</v>
      </c>
      <c r="B32" s="51" t="s">
        <v>399</v>
      </c>
      <c r="C32" s="75">
        <v>0.49492221943887776</v>
      </c>
      <c r="D32" s="52">
        <v>1961</v>
      </c>
      <c r="E32" s="53">
        <v>120</v>
      </c>
      <c r="F32" s="54">
        <v>507</v>
      </c>
      <c r="G32" s="55">
        <v>1727.71875</v>
      </c>
      <c r="H32" s="55">
        <v>0.35789851174466558</v>
      </c>
      <c r="I32" s="55">
        <v>0.75</v>
      </c>
      <c r="J32" s="55">
        <v>252.28125</v>
      </c>
      <c r="K32" s="56">
        <v>163</v>
      </c>
      <c r="L32" s="55">
        <v>1.5477377300613497</v>
      </c>
      <c r="M32" s="52" t="s">
        <v>85</v>
      </c>
      <c r="N32" s="52" t="s">
        <v>85</v>
      </c>
      <c r="O32" s="14">
        <v>30</v>
      </c>
      <c r="P32" s="71"/>
    </row>
    <row r="33" spans="1:16" s="80" customFormat="1" ht="13.8" x14ac:dyDescent="0.25">
      <c r="A33" s="50">
        <v>185</v>
      </c>
      <c r="B33" s="51" t="s">
        <v>400</v>
      </c>
      <c r="C33" s="75">
        <v>0.49492221943887776</v>
      </c>
      <c r="D33" s="52">
        <v>1961</v>
      </c>
      <c r="E33" s="53">
        <v>120</v>
      </c>
      <c r="F33" s="54">
        <v>507</v>
      </c>
      <c r="G33" s="55">
        <v>1727.71875</v>
      </c>
      <c r="H33" s="55">
        <v>0.35789851174466558</v>
      </c>
      <c r="I33" s="55">
        <v>0.75</v>
      </c>
      <c r="J33" s="55">
        <v>252.28125</v>
      </c>
      <c r="K33" s="56">
        <v>174</v>
      </c>
      <c r="L33" s="55">
        <v>1.4498922413793103</v>
      </c>
      <c r="M33" s="52" t="s">
        <v>85</v>
      </c>
      <c r="N33" s="52" t="s">
        <v>85</v>
      </c>
      <c r="O33" s="14">
        <v>30</v>
      </c>
      <c r="P33" s="71"/>
    </row>
    <row r="34" spans="1:16" s="80" customFormat="1" ht="13.8" x14ac:dyDescent="0.25">
      <c r="A34" s="63">
        <v>216</v>
      </c>
      <c r="B34" s="51" t="s">
        <v>432</v>
      </c>
      <c r="C34" s="75">
        <v>0.48514048702167523</v>
      </c>
      <c r="D34" s="52">
        <v>1971</v>
      </c>
      <c r="E34" s="53">
        <v>79</v>
      </c>
      <c r="F34" s="54">
        <v>339</v>
      </c>
      <c r="G34" s="55">
        <v>1356.1499999999999</v>
      </c>
      <c r="H34" s="55">
        <v>0.33404844909269693</v>
      </c>
      <c r="I34" s="55">
        <v>0.75</v>
      </c>
      <c r="J34" s="55">
        <v>208.04999999999998</v>
      </c>
      <c r="K34" s="56">
        <v>106</v>
      </c>
      <c r="L34" s="55">
        <v>1.9627358490566036</v>
      </c>
      <c r="M34" s="52" t="s">
        <v>85</v>
      </c>
      <c r="N34" s="52" t="s">
        <v>85</v>
      </c>
      <c r="O34" s="14">
        <v>28</v>
      </c>
      <c r="P34" s="71"/>
    </row>
    <row r="35" spans="1:16" s="80" customFormat="1" ht="13.8" x14ac:dyDescent="0.25">
      <c r="A35" s="61">
        <v>222</v>
      </c>
      <c r="B35" s="51" t="s">
        <v>438</v>
      </c>
      <c r="C35" s="75">
        <v>0.5302733966538864</v>
      </c>
      <c r="D35" s="52">
        <v>1961</v>
      </c>
      <c r="E35" s="53">
        <v>154</v>
      </c>
      <c r="F35" s="54">
        <v>705</v>
      </c>
      <c r="G35" s="55">
        <v>1747.2375</v>
      </c>
      <c r="H35" s="55">
        <v>0.36995486782720827</v>
      </c>
      <c r="I35" s="55">
        <v>0.75</v>
      </c>
      <c r="J35" s="55">
        <v>285.5625</v>
      </c>
      <c r="K35" s="56">
        <v>235</v>
      </c>
      <c r="L35" s="55">
        <v>1.2151595744680852</v>
      </c>
      <c r="M35" s="52" t="s">
        <v>351</v>
      </c>
      <c r="N35" s="52" t="s">
        <v>85</v>
      </c>
      <c r="O35" s="14">
        <v>24</v>
      </c>
      <c r="P35" s="71"/>
    </row>
    <row r="36" spans="1:16" s="80" customFormat="1" ht="13.8" x14ac:dyDescent="0.25">
      <c r="A36" s="61">
        <v>223</v>
      </c>
      <c r="B36" s="51" t="s">
        <v>439</v>
      </c>
      <c r="C36" s="75">
        <v>0.50029854910714289</v>
      </c>
      <c r="D36" s="52">
        <v>1961</v>
      </c>
      <c r="E36" s="53">
        <v>167</v>
      </c>
      <c r="F36" s="54">
        <v>645</v>
      </c>
      <c r="G36" s="55">
        <v>1944.3375000000001</v>
      </c>
      <c r="H36" s="55">
        <v>0.41042988019732207</v>
      </c>
      <c r="I36" s="55">
        <v>0.55000000000000004</v>
      </c>
      <c r="J36" s="55">
        <v>260.0625</v>
      </c>
      <c r="K36" s="58">
        <v>214</v>
      </c>
      <c r="L36" s="55">
        <v>1.2152453271028036</v>
      </c>
      <c r="M36" s="52" t="s">
        <v>351</v>
      </c>
      <c r="N36" s="52" t="s">
        <v>85</v>
      </c>
      <c r="O36" s="14">
        <v>24</v>
      </c>
      <c r="P36" s="71"/>
    </row>
    <row r="37" spans="1:16" s="80" customFormat="1" ht="13.8" x14ac:dyDescent="0.25">
      <c r="A37" s="61">
        <v>224</v>
      </c>
      <c r="B37" s="51" t="s">
        <v>440</v>
      </c>
      <c r="C37" s="75">
        <v>0.49544903004227053</v>
      </c>
      <c r="D37" s="52">
        <v>1961</v>
      </c>
      <c r="E37" s="53">
        <v>128</v>
      </c>
      <c r="F37" s="54">
        <v>480</v>
      </c>
      <c r="G37" s="55">
        <v>1495.6624999999999</v>
      </c>
      <c r="H37" s="55">
        <v>0.41818181818181815</v>
      </c>
      <c r="I37" s="55">
        <v>0.55000000000000004</v>
      </c>
      <c r="J37" s="55">
        <v>193.9375</v>
      </c>
      <c r="K37" s="58">
        <v>159</v>
      </c>
      <c r="L37" s="55">
        <v>1.2197327044025157</v>
      </c>
      <c r="M37" s="52" t="s">
        <v>351</v>
      </c>
      <c r="N37" s="52" t="s">
        <v>85</v>
      </c>
      <c r="O37" s="14">
        <v>16</v>
      </c>
      <c r="P37" s="71"/>
    </row>
    <row r="38" spans="1:16" s="80" customFormat="1" ht="13.8" x14ac:dyDescent="0.25">
      <c r="A38" s="50">
        <v>226</v>
      </c>
      <c r="B38" s="51" t="s">
        <v>442</v>
      </c>
      <c r="C38" s="75">
        <v>0.25438337320574167</v>
      </c>
      <c r="D38" s="52">
        <v>1961</v>
      </c>
      <c r="E38" s="53">
        <v>80</v>
      </c>
      <c r="F38" s="54">
        <v>286</v>
      </c>
      <c r="G38" s="55">
        <v>236.67500000000001</v>
      </c>
      <c r="H38" s="55">
        <v>0.88578088578088587</v>
      </c>
      <c r="I38" s="55">
        <v>0.5</v>
      </c>
      <c r="J38" s="55">
        <v>27.324999999999999</v>
      </c>
      <c r="K38" s="56">
        <v>20</v>
      </c>
      <c r="L38" s="55">
        <v>1.36625</v>
      </c>
      <c r="M38" s="52" t="s">
        <v>85</v>
      </c>
      <c r="N38" s="52" t="s">
        <v>85</v>
      </c>
      <c r="O38" s="14">
        <v>5</v>
      </c>
      <c r="P38" s="71"/>
    </row>
    <row r="39" spans="1:16" s="80" customFormat="1" ht="13.8" x14ac:dyDescent="0.25">
      <c r="A39" s="50">
        <v>227</v>
      </c>
      <c r="B39" s="51" t="s">
        <v>443</v>
      </c>
      <c r="C39" s="75">
        <v>0.25438337320574167</v>
      </c>
      <c r="D39" s="52">
        <v>1961</v>
      </c>
      <c r="E39" s="53">
        <v>80</v>
      </c>
      <c r="F39" s="54">
        <v>286</v>
      </c>
      <c r="G39" s="55">
        <v>236.67500000000001</v>
      </c>
      <c r="H39" s="55">
        <v>0.88578088578088587</v>
      </c>
      <c r="I39" s="55">
        <v>0.5</v>
      </c>
      <c r="J39" s="55">
        <v>27.324999999999999</v>
      </c>
      <c r="K39" s="56">
        <v>21</v>
      </c>
      <c r="L39" s="55">
        <v>1.3011904761904762</v>
      </c>
      <c r="M39" s="52" t="s">
        <v>85</v>
      </c>
      <c r="N39" s="52" t="s">
        <v>85</v>
      </c>
      <c r="O39" s="14">
        <v>4</v>
      </c>
      <c r="P39" s="71"/>
    </row>
    <row r="40" spans="1:16" s="80" customFormat="1" ht="13.8" x14ac:dyDescent="0.25">
      <c r="A40" s="50">
        <v>246</v>
      </c>
      <c r="B40" s="51" t="s">
        <v>461</v>
      </c>
      <c r="C40" s="75">
        <v>0.47634390265697613</v>
      </c>
      <c r="D40" s="52">
        <v>1961</v>
      </c>
      <c r="E40" s="53">
        <v>158</v>
      </c>
      <c r="F40" s="54">
        <v>693</v>
      </c>
      <c r="G40" s="55">
        <v>3157.4437499999999</v>
      </c>
      <c r="H40" s="55">
        <v>0.31457431457431456</v>
      </c>
      <c r="I40" s="55">
        <v>0.75</v>
      </c>
      <c r="J40" s="55">
        <v>492.35624999999993</v>
      </c>
      <c r="K40" s="56">
        <v>340</v>
      </c>
      <c r="L40" s="55">
        <v>1.4481066176470587</v>
      </c>
      <c r="M40" s="52" t="s">
        <v>85</v>
      </c>
      <c r="N40" s="52" t="s">
        <v>85</v>
      </c>
      <c r="O40" s="14">
        <v>42</v>
      </c>
      <c r="P40" s="71"/>
    </row>
    <row r="41" spans="1:16" s="80" customFormat="1" ht="13.8" x14ac:dyDescent="0.25">
      <c r="A41" s="61">
        <v>247</v>
      </c>
      <c r="B41" s="51" t="s">
        <v>462</v>
      </c>
      <c r="C41" s="75">
        <v>0.49424084487724596</v>
      </c>
      <c r="D41" s="52">
        <v>1971</v>
      </c>
      <c r="E41" s="53">
        <v>147</v>
      </c>
      <c r="F41" s="54">
        <v>610</v>
      </c>
      <c r="G41" s="55">
        <v>2113.5</v>
      </c>
      <c r="H41" s="55">
        <v>0.36219572776949827</v>
      </c>
      <c r="I41" s="55">
        <v>0.75</v>
      </c>
      <c r="J41" s="55">
        <v>312</v>
      </c>
      <c r="K41" s="56">
        <v>163</v>
      </c>
      <c r="L41" s="55">
        <v>1.9141104294478528</v>
      </c>
      <c r="M41" s="52" t="s">
        <v>85</v>
      </c>
      <c r="N41" s="52" t="s">
        <v>85</v>
      </c>
      <c r="O41" s="14">
        <v>50</v>
      </c>
      <c r="P41" s="71"/>
    </row>
    <row r="42" spans="1:16" s="80" customFormat="1" ht="13.8" x14ac:dyDescent="0.25">
      <c r="A42" s="61">
        <v>248</v>
      </c>
      <c r="B42" s="51" t="s">
        <v>463</v>
      </c>
      <c r="C42" s="75">
        <v>0.50075724488394446</v>
      </c>
      <c r="D42" s="52">
        <v>1971</v>
      </c>
      <c r="E42" s="53">
        <v>145</v>
      </c>
      <c r="F42" s="54">
        <v>624</v>
      </c>
      <c r="G42" s="55">
        <v>2073.0625</v>
      </c>
      <c r="H42" s="55">
        <v>0.35358391608391609</v>
      </c>
      <c r="I42" s="55">
        <v>0.75</v>
      </c>
      <c r="J42" s="55">
        <v>319.4375</v>
      </c>
      <c r="K42" s="56">
        <v>200</v>
      </c>
      <c r="L42" s="55">
        <v>1.5971875</v>
      </c>
      <c r="M42" s="52" t="s">
        <v>85</v>
      </c>
      <c r="N42" s="52" t="s">
        <v>85</v>
      </c>
      <c r="O42" s="14">
        <v>50</v>
      </c>
      <c r="P42" s="71"/>
    </row>
    <row r="43" spans="1:16" s="84" customFormat="1" ht="13.8" x14ac:dyDescent="0.3">
      <c r="C43" s="85" t="s">
        <v>473</v>
      </c>
      <c r="F43" s="86" t="s">
        <v>472</v>
      </c>
      <c r="G43" s="87" t="s">
        <v>472</v>
      </c>
      <c r="I43" s="86" t="s">
        <v>473</v>
      </c>
      <c r="J43" s="86" t="s">
        <v>472</v>
      </c>
      <c r="O43" s="86" t="s">
        <v>472</v>
      </c>
    </row>
    <row r="44" spans="1:16" s="84" customFormat="1" ht="13.8" x14ac:dyDescent="0.3">
      <c r="B44" s="135" t="s">
        <v>489</v>
      </c>
      <c r="C44" s="88">
        <f>AVERAGE(C15:C42)</f>
        <v>0.49330406483270162</v>
      </c>
      <c r="F44" s="89">
        <f>SUM(F15:F42)</f>
        <v>19690</v>
      </c>
      <c r="G44" s="89">
        <f>SUM(G15:G42)</f>
        <v>61310.312500000007</v>
      </c>
      <c r="I44" s="88">
        <f>AVERAGE(I15:I42)</f>
        <v>0.71785714285714286</v>
      </c>
      <c r="J44" s="89">
        <f>SUM(J15:J42)</f>
        <v>11131.287500000002</v>
      </c>
      <c r="O44" s="89">
        <f>SUM(O15:O42)</f>
        <v>1284</v>
      </c>
    </row>
    <row r="46" spans="1:16" s="80" customFormat="1" ht="13.8" x14ac:dyDescent="0.25">
      <c r="A46" s="59" t="s">
        <v>297</v>
      </c>
      <c r="B46" s="51" t="s">
        <v>298</v>
      </c>
      <c r="C46" s="75">
        <v>0.49379423196307587</v>
      </c>
      <c r="D46" s="52">
        <v>1961</v>
      </c>
      <c r="E46" s="53">
        <v>97</v>
      </c>
      <c r="F46" s="60">
        <v>412</v>
      </c>
      <c r="G46" s="55">
        <v>2497.9875000000002</v>
      </c>
      <c r="H46" s="55">
        <v>0.30277696054395087</v>
      </c>
      <c r="I46" s="55">
        <v>0.75</v>
      </c>
      <c r="J46" s="55">
        <v>382.91249999999997</v>
      </c>
      <c r="K46" s="56">
        <v>297</v>
      </c>
      <c r="L46" s="55">
        <v>1.2892676767676767</v>
      </c>
      <c r="M46" s="52" t="s">
        <v>150</v>
      </c>
      <c r="N46" s="52" t="s">
        <v>150</v>
      </c>
      <c r="O46" s="14">
        <v>40</v>
      </c>
      <c r="P46" s="71"/>
    </row>
    <row r="47" spans="1:16" x14ac:dyDescent="0.3">
      <c r="B47" s="135" t="s">
        <v>490</v>
      </c>
    </row>
    <row r="48" spans="1:16" s="80" customFormat="1" ht="13.8" x14ac:dyDescent="0.25">
      <c r="A48" s="65">
        <v>153</v>
      </c>
      <c r="B48" s="51" t="s">
        <v>367</v>
      </c>
      <c r="C48" s="75">
        <v>0.46561202576950617</v>
      </c>
      <c r="D48" s="52">
        <v>1961</v>
      </c>
      <c r="E48" s="53">
        <v>71</v>
      </c>
      <c r="F48" s="54">
        <v>275</v>
      </c>
      <c r="G48" s="55">
        <v>1238.5499999999997</v>
      </c>
      <c r="H48" s="55">
        <v>0.35919191919191923</v>
      </c>
      <c r="I48" s="55">
        <v>0.75</v>
      </c>
      <c r="J48" s="55">
        <v>167.25</v>
      </c>
      <c r="K48" s="56">
        <v>111</v>
      </c>
      <c r="L48" s="55">
        <v>1.5067567567567568</v>
      </c>
      <c r="M48" s="52" t="s">
        <v>85</v>
      </c>
      <c r="N48" s="52" t="s">
        <v>150</v>
      </c>
      <c r="O48" s="14">
        <v>24</v>
      </c>
      <c r="P48" s="71"/>
    </row>
    <row r="49" spans="2:2" x14ac:dyDescent="0.3">
      <c r="B49" s="135" t="s">
        <v>491</v>
      </c>
    </row>
  </sheetData>
  <conditionalFormatting sqref="K7:K11 L2:N11 J2:J11 B2:B11 E2:H11 A7:A11">
    <cfRule type="containsText" dxfId="118" priority="56" operator="containsText" text="CALDAIE MURALI">
      <formula>NOT(ISERROR(SEARCH("CALDAIE MURALI",A2)))</formula>
    </cfRule>
    <cfRule type="containsText" dxfId="117" priority="57" operator="containsText" text="METANO">
      <formula>NOT(ISERROR(SEARCH("METANO",A2)))</formula>
    </cfRule>
    <cfRule type="containsText" dxfId="116" priority="58" operator="containsText" text="TELERISCALDAMENTO">
      <formula>NOT(ISERROR(SEARCH("TELERISCALDAMENTO",A2)))</formula>
    </cfRule>
    <cfRule type="containsText" dxfId="115" priority="59" operator="containsText" text="CENTRALIZZATO">
      <formula>NOT(ISERROR(SEARCH("CENTRALIZZATO",A2)))</formula>
    </cfRule>
  </conditionalFormatting>
  <conditionalFormatting sqref="A2:A6">
    <cfRule type="containsText" dxfId="114" priority="52" operator="containsText" text="CALDAIE MURALI">
      <formula>NOT(ISERROR(SEARCH("CALDAIE MURALI",A2)))</formula>
    </cfRule>
    <cfRule type="containsText" dxfId="113" priority="53" operator="containsText" text="METANO">
      <formula>NOT(ISERROR(SEARCH("METANO",A2)))</formula>
    </cfRule>
    <cfRule type="containsText" dxfId="112" priority="54" operator="containsText" text="TELERISCALDAMENTO">
      <formula>NOT(ISERROR(SEARCH("TELERISCALDAMENTO",A2)))</formula>
    </cfRule>
    <cfRule type="containsText" dxfId="111" priority="55" operator="containsText" text="CENTRALIZZATO">
      <formula>NOT(ISERROR(SEARCH("CENTRALIZZATO",A2)))</formula>
    </cfRule>
  </conditionalFormatting>
  <conditionalFormatting sqref="K2:K6">
    <cfRule type="containsText" dxfId="110" priority="48" operator="containsText" text="CALDAIE MURALI">
      <formula>NOT(ISERROR(SEARCH("CALDAIE MURALI",K2)))</formula>
    </cfRule>
    <cfRule type="containsText" dxfId="109" priority="49" operator="containsText" text="METANO">
      <formula>NOT(ISERROR(SEARCH("METANO",K2)))</formula>
    </cfRule>
    <cfRule type="containsText" dxfId="108" priority="50" operator="containsText" text="TELERISCALDAMENTO">
      <formula>NOT(ISERROR(SEARCH("TELERISCALDAMENTO",K2)))</formula>
    </cfRule>
    <cfRule type="containsText" dxfId="107" priority="51" operator="containsText" text="CENTRALIZZATO">
      <formula>NOT(ISERROR(SEARCH("CENTRALIZZATO",K2)))</formula>
    </cfRule>
  </conditionalFormatting>
  <conditionalFormatting sqref="C2:C11">
    <cfRule type="cellIs" dxfId="106" priority="60" operator="lessThanOrEqual">
      <formula>#REF!</formula>
    </cfRule>
    <cfRule type="cellIs" dxfId="105" priority="61" operator="greaterThan">
      <formula>#REF!</formula>
    </cfRule>
  </conditionalFormatting>
  <conditionalFormatting sqref="J15:N42 A24:A39 B15:B42 E15:H42">
    <cfRule type="containsText" dxfId="104" priority="34" operator="containsText" text="CALDAIE MURALI">
      <formula>NOT(ISERROR(SEARCH("CALDAIE MURALI",A15)))</formula>
    </cfRule>
    <cfRule type="containsText" dxfId="103" priority="35" operator="containsText" text="METANO">
      <formula>NOT(ISERROR(SEARCH("METANO",A15)))</formula>
    </cfRule>
    <cfRule type="containsText" dxfId="102" priority="36" operator="containsText" text="TELERISCALDAMENTO">
      <formula>NOT(ISERROR(SEARCH("TELERISCALDAMENTO",A15)))</formula>
    </cfRule>
    <cfRule type="containsText" dxfId="101" priority="37" operator="containsText" text="CENTRALIZZATO">
      <formula>NOT(ISERROR(SEARCH("CENTRALIZZATO",A15)))</formula>
    </cfRule>
  </conditionalFormatting>
  <conditionalFormatting sqref="A15:A23">
    <cfRule type="containsText" dxfId="100" priority="30" operator="containsText" text="CALDAIE MURALI">
      <formula>NOT(ISERROR(SEARCH("CALDAIE MURALI",A15)))</formula>
    </cfRule>
    <cfRule type="containsText" dxfId="99" priority="31" operator="containsText" text="METANO">
      <formula>NOT(ISERROR(SEARCH("METANO",A15)))</formula>
    </cfRule>
    <cfRule type="containsText" dxfId="98" priority="32" operator="containsText" text="TELERISCALDAMENTO">
      <formula>NOT(ISERROR(SEARCH("TELERISCALDAMENTO",A15)))</formula>
    </cfRule>
    <cfRule type="containsText" dxfId="97" priority="33" operator="containsText" text="CENTRALIZZATO">
      <formula>NOT(ISERROR(SEARCH("CENTRALIZZATO",A15)))</formula>
    </cfRule>
  </conditionalFormatting>
  <conditionalFormatting sqref="C15:C42">
    <cfRule type="cellIs" dxfId="96" priority="38" operator="lessThanOrEqual">
      <formula>#REF!</formula>
    </cfRule>
    <cfRule type="cellIs" dxfId="95" priority="39" operator="greaterThan">
      <formula>#REF!</formula>
    </cfRule>
  </conditionalFormatting>
  <conditionalFormatting sqref="A40:A42">
    <cfRule type="containsText" dxfId="94" priority="26" operator="containsText" text="CALDAIE MURALI">
      <formula>NOT(ISERROR(SEARCH("CALDAIE MURALI",A40)))</formula>
    </cfRule>
    <cfRule type="containsText" dxfId="93" priority="27" operator="containsText" text="METANO">
      <formula>NOT(ISERROR(SEARCH("METANO",A40)))</formula>
    </cfRule>
    <cfRule type="containsText" dxfId="92" priority="28" operator="containsText" text="TELERISCALDAMENTO">
      <formula>NOT(ISERROR(SEARCH("TELERISCALDAMENTO",A40)))</formula>
    </cfRule>
    <cfRule type="containsText" dxfId="91" priority="29" operator="containsText" text="CENTRALIZZATO">
      <formula>NOT(ISERROR(SEARCH("CENTRALIZZATO",A40)))</formula>
    </cfRule>
  </conditionalFormatting>
  <conditionalFormatting sqref="J46:N46 A46:B46 E46:H46">
    <cfRule type="containsText" dxfId="90" priority="20" operator="containsText" text="CALDAIE MURALI">
      <formula>NOT(ISERROR(SEARCH("CALDAIE MURALI",A46)))</formula>
    </cfRule>
    <cfRule type="containsText" dxfId="89" priority="21" operator="containsText" text="METANO">
      <formula>NOT(ISERROR(SEARCH("METANO",A46)))</formula>
    </cfRule>
    <cfRule type="containsText" dxfId="88" priority="22" operator="containsText" text="TELERISCALDAMENTO">
      <formula>NOT(ISERROR(SEARCH("TELERISCALDAMENTO",A46)))</formula>
    </cfRule>
    <cfRule type="containsText" dxfId="87" priority="23" operator="containsText" text="CENTRALIZZATO">
      <formula>NOT(ISERROR(SEARCH("CENTRALIZZATO",A46)))</formula>
    </cfRule>
  </conditionalFormatting>
  <conditionalFormatting sqref="C46">
    <cfRule type="cellIs" dxfId="86" priority="24" operator="lessThanOrEqual">
      <formula>#REF!</formula>
    </cfRule>
    <cfRule type="cellIs" dxfId="85" priority="25" operator="greaterThan">
      <formula>#REF!</formula>
    </cfRule>
  </conditionalFormatting>
  <conditionalFormatting sqref="J48:N48 A48:B48 E48:H48">
    <cfRule type="containsText" dxfId="84" priority="14" operator="containsText" text="CALDAIE MURALI">
      <formula>NOT(ISERROR(SEARCH("CALDAIE MURALI",A48)))</formula>
    </cfRule>
    <cfRule type="containsText" dxfId="83" priority="15" operator="containsText" text="METANO">
      <formula>NOT(ISERROR(SEARCH("METANO",A48)))</formula>
    </cfRule>
    <cfRule type="containsText" dxfId="82" priority="16" operator="containsText" text="TELERISCALDAMENTO">
      <formula>NOT(ISERROR(SEARCH("TELERISCALDAMENTO",A48)))</formula>
    </cfRule>
    <cfRule type="containsText" dxfId="81" priority="17" operator="containsText" text="CENTRALIZZATO">
      <formula>NOT(ISERROR(SEARCH("CENTRALIZZATO",A48)))</formula>
    </cfRule>
  </conditionalFormatting>
  <conditionalFormatting sqref="C48">
    <cfRule type="cellIs" dxfId="80" priority="18" operator="lessThanOrEqual">
      <formula>#REF!</formula>
    </cfRule>
    <cfRule type="cellIs" dxfId="79" priority="19" operator="greaterThan">
      <formula>#REF!</formula>
    </cfRule>
  </conditionalFormatting>
  <conditionalFormatting sqref="M1:O1 E1:J1">
    <cfRule type="containsText" dxfId="78" priority="10" operator="containsText" text="CALDAIE MURALI">
      <formula>NOT(ISERROR(SEARCH("CALDAIE MURALI",E1)))</formula>
    </cfRule>
    <cfRule type="containsText" dxfId="77" priority="11" operator="containsText" text="METANO">
      <formula>NOT(ISERROR(SEARCH("METANO",E1)))</formula>
    </cfRule>
    <cfRule type="containsText" dxfId="76" priority="12" operator="containsText" text="TELERISCALDAMENTO">
      <formula>NOT(ISERROR(SEARCH("TELERISCALDAMENTO",E1)))</formula>
    </cfRule>
    <cfRule type="containsText" dxfId="75" priority="13" operator="containsText" text="CENTRALIZZATO">
      <formula>NOT(ISERROR(SEARCH("CENTRALIZZATO",E1)))</formula>
    </cfRule>
  </conditionalFormatting>
  <conditionalFormatting sqref="D1">
    <cfRule type="containsText" dxfId="74" priority="6" operator="containsText" text="CALDAIE MURALI">
      <formula>NOT(ISERROR(SEARCH("CALDAIE MURALI",D1)))</formula>
    </cfRule>
    <cfRule type="containsText" dxfId="73" priority="7" operator="containsText" text="METANO">
      <formula>NOT(ISERROR(SEARCH("METANO",D1)))</formula>
    </cfRule>
    <cfRule type="containsText" dxfId="72" priority="8" operator="containsText" text="TELERISCALDAMENTO">
      <formula>NOT(ISERROR(SEARCH("TELERISCALDAMENTO",D1)))</formula>
    </cfRule>
    <cfRule type="containsText" dxfId="71" priority="9" operator="containsText" text="CENTRALIZZATO">
      <formula>NOT(ISERROR(SEARCH("CENTRALIZZATO",D1)))</formula>
    </cfRule>
  </conditionalFormatting>
  <conditionalFormatting sqref="K1:L1">
    <cfRule type="containsText" dxfId="70" priority="2" operator="containsText" text="CALDAIE MURALI">
      <formula>NOT(ISERROR(SEARCH("CALDAIE MURALI",K1)))</formula>
    </cfRule>
    <cfRule type="containsText" dxfId="69" priority="3" operator="containsText" text="METANO">
      <formula>NOT(ISERROR(SEARCH("METANO",K1)))</formula>
    </cfRule>
    <cfRule type="containsText" dxfId="68" priority="4" operator="containsText" text="TELERISCALDAMENTO">
      <formula>NOT(ISERROR(SEARCH("TELERISCALDAMENTO",K1)))</formula>
    </cfRule>
    <cfRule type="containsText" dxfId="67" priority="5" operator="containsText" text="CENTRALIZZATO">
      <formula>NOT(ISERROR(SEARCH("CENTRALIZZATO",K1)))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D340AF9B-C6BD-418B-9B54-AFE3BD2F1C99}">
            <xm:f>NOT(ISERROR(SEARCH(#REF!,O1)))</xm:f>
            <xm:f>#REF!</xm:f>
            <x14:dxf>
              <fill>
                <patternFill>
                  <bgColor theme="2" tint="-9.9948118533890809E-2"/>
                </patternFill>
              </fill>
            </x14:dxf>
          </x14:cfRule>
          <xm:sqref>O1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</vt:i4>
      </vt:variant>
    </vt:vector>
  </HeadingPairs>
  <TitlesOfParts>
    <vt:vector size="14" baseType="lpstr">
      <vt:lpstr>Stato di fatto</vt:lpstr>
      <vt:lpstr>Ante e Post</vt:lpstr>
      <vt:lpstr>SPESE TOT</vt:lpstr>
      <vt:lpstr>MF</vt:lpstr>
      <vt:lpstr>&lt; 900</vt:lpstr>
      <vt:lpstr>1901-1920</vt:lpstr>
      <vt:lpstr>1921-1945</vt:lpstr>
      <vt:lpstr>1946-1960</vt:lpstr>
      <vt:lpstr>1961-1975</vt:lpstr>
      <vt:lpstr>1976-1990</vt:lpstr>
      <vt:lpstr>&gt;2006</vt:lpstr>
      <vt:lpstr>Foglio1</vt:lpstr>
      <vt:lpstr>Foglio3</vt:lpstr>
      <vt:lpstr>'Ante e Post'!Area_stampa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b.</dc:creator>
  <cp:lastModifiedBy>antonio b.</cp:lastModifiedBy>
  <cp:lastPrinted>2021-06-11T08:51:58Z</cp:lastPrinted>
  <dcterms:created xsi:type="dcterms:W3CDTF">2021-05-16T19:31:33Z</dcterms:created>
  <dcterms:modified xsi:type="dcterms:W3CDTF">2021-06-11T10:15:42Z</dcterms:modified>
</cp:coreProperties>
</file>